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drawings/drawing7.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370" windowHeight="8280"/>
  </bookViews>
  <sheets>
    <sheet name="Miscellaneous" sheetId="4" r:id="rId1"/>
    <sheet name="Area Takeoffs" sheetId="1" r:id="rId2"/>
    <sheet name="Previous BD Tests" sheetId="2" r:id="rId3"/>
    <sheet name="BSC BD Tests-Summary" sheetId="5" r:id="rId4"/>
    <sheet name="Multi-Door Test-Nulled" sheetId="9" r:id="rId5"/>
    <sheet name="Multi-Door Test-Not Nulled" sheetId="8" r:id="rId6"/>
    <sheet name="BSC Garage Tests" sheetId="7" r:id="rId7"/>
    <sheet name="BSC Mech Rm Tests" sheetId="6" r:id="rId8"/>
  </sheets>
  <definedNames>
    <definedName name="_xlnm.Print_Area" localSheetId="0">Miscellaneous!$A$1:$M$36</definedName>
  </definedNames>
  <calcPr calcId="145621"/>
</workbook>
</file>

<file path=xl/calcChain.xml><?xml version="1.0" encoding="utf-8"?>
<calcChain xmlns="http://schemas.openxmlformats.org/spreadsheetml/2006/main">
  <c r="U34" i="6" l="1"/>
  <c r="S33" i="6"/>
  <c r="S32" i="6"/>
  <c r="S31" i="6"/>
  <c r="S30" i="6"/>
  <c r="S34" i="6"/>
  <c r="R34" i="6"/>
  <c r="R33" i="6"/>
  <c r="R32" i="6"/>
  <c r="R31" i="6"/>
  <c r="R30" i="6"/>
  <c r="A100" i="4" l="1"/>
  <c r="A72" i="4"/>
  <c r="L67" i="4" l="1"/>
  <c r="L66" i="4"/>
  <c r="L65" i="4"/>
  <c r="L64" i="4"/>
  <c r="K67" i="4"/>
  <c r="K66" i="4"/>
  <c r="K65" i="4"/>
  <c r="K64" i="4"/>
  <c r="K61" i="4"/>
  <c r="K60" i="4"/>
  <c r="K59" i="4"/>
  <c r="D36" i="7"/>
  <c r="D35" i="7"/>
  <c r="G30" i="7"/>
  <c r="R35" i="7"/>
  <c r="G26" i="7"/>
  <c r="R39" i="7"/>
  <c r="J17" i="5" l="1"/>
  <c r="M17" i="5" s="1"/>
  <c r="J16" i="5"/>
  <c r="M16" i="5" s="1"/>
  <c r="M26" i="5"/>
  <c r="M25" i="5"/>
  <c r="M24" i="5"/>
  <c r="M23" i="5"/>
  <c r="M22" i="5"/>
  <c r="K26" i="5"/>
  <c r="K25" i="5"/>
  <c r="K24" i="5"/>
  <c r="K23" i="5"/>
  <c r="K22" i="5"/>
  <c r="H18" i="5"/>
  <c r="H17" i="5"/>
  <c r="H16" i="5"/>
  <c r="H15" i="5"/>
  <c r="H14" i="5"/>
  <c r="B24" i="8"/>
  <c r="B25" i="8"/>
  <c r="I18" i="5" l="1"/>
  <c r="I17" i="5"/>
  <c r="I16" i="5"/>
  <c r="I15" i="5"/>
  <c r="I14" i="5"/>
  <c r="C58" i="8"/>
  <c r="C45" i="8"/>
  <c r="C32" i="8"/>
  <c r="C19" i="8"/>
  <c r="C6" i="8"/>
  <c r="H19" i="5"/>
  <c r="I19" i="5" l="1"/>
  <c r="G15" i="2"/>
  <c r="G14" i="2"/>
  <c r="H7" i="5" l="1"/>
  <c r="I7" i="5"/>
  <c r="J26" i="5" l="1"/>
  <c r="J25" i="5"/>
  <c r="J24" i="5"/>
  <c r="J23" i="5"/>
  <c r="H22" i="5"/>
  <c r="J22" i="5"/>
  <c r="G22" i="5"/>
  <c r="D26" i="5" l="1"/>
  <c r="D25" i="5"/>
  <c r="D24" i="5"/>
  <c r="D23" i="5"/>
  <c r="D22" i="5"/>
  <c r="Z28" i="9"/>
  <c r="Y28" i="9"/>
  <c r="T28" i="9"/>
  <c r="S28" i="9"/>
  <c r="N28" i="9"/>
  <c r="M28" i="9"/>
  <c r="H28" i="9"/>
  <c r="G28" i="9"/>
  <c r="B28" i="9"/>
  <c r="A28" i="9"/>
  <c r="Z5" i="9"/>
  <c r="AB9" i="9" s="1"/>
  <c r="Y5" i="9"/>
  <c r="T5" i="9"/>
  <c r="S5" i="9"/>
  <c r="N5" i="9"/>
  <c r="P7" i="9" s="1"/>
  <c r="M5" i="9"/>
  <c r="H5" i="9"/>
  <c r="J6" i="9" s="1"/>
  <c r="G5" i="9"/>
  <c r="B5" i="9"/>
  <c r="D9" i="9" s="1"/>
  <c r="A5" i="9"/>
  <c r="V9" i="9"/>
  <c r="AB7" i="9"/>
  <c r="V8" i="9"/>
  <c r="V7" i="9"/>
  <c r="V6" i="9"/>
  <c r="V5" i="9"/>
  <c r="P8" i="9"/>
  <c r="J7" i="9"/>
  <c r="D18" i="5"/>
  <c r="G18" i="5" s="1"/>
  <c r="B69" i="8"/>
  <c r="A69" i="8"/>
  <c r="B64" i="8"/>
  <c r="B63" i="8"/>
  <c r="D17" i="5"/>
  <c r="B56" i="8"/>
  <c r="A56" i="8"/>
  <c r="B51" i="8"/>
  <c r="B50" i="8"/>
  <c r="D16" i="5"/>
  <c r="B43" i="8"/>
  <c r="A43" i="8"/>
  <c r="B38" i="8"/>
  <c r="B37" i="8"/>
  <c r="D15" i="5"/>
  <c r="B30" i="8"/>
  <c r="A30" i="8"/>
  <c r="D14" i="5"/>
  <c r="G16" i="5"/>
  <c r="G15" i="5"/>
  <c r="C26" i="5"/>
  <c r="B26" i="5"/>
  <c r="E25" i="5"/>
  <c r="C25" i="5"/>
  <c r="B25" i="5"/>
  <c r="F25" i="5" s="1"/>
  <c r="C24" i="5"/>
  <c r="B24" i="5"/>
  <c r="F24" i="5" s="1"/>
  <c r="C23" i="5"/>
  <c r="B23" i="5"/>
  <c r="E22" i="5"/>
  <c r="C22" i="5"/>
  <c r="B22" i="5"/>
  <c r="C18" i="5"/>
  <c r="E18" i="5" s="1"/>
  <c r="B18" i="5"/>
  <c r="C17" i="5"/>
  <c r="B17" i="5"/>
  <c r="C16" i="5"/>
  <c r="B16" i="5"/>
  <c r="F16" i="5" s="1"/>
  <c r="C15" i="5"/>
  <c r="E15" i="5" s="1"/>
  <c r="B15" i="5"/>
  <c r="C14" i="5"/>
  <c r="B14" i="5"/>
  <c r="B12" i="8"/>
  <c r="B11" i="8"/>
  <c r="B17" i="8"/>
  <c r="A17" i="8"/>
  <c r="F17" i="5" l="1"/>
  <c r="F22" i="5"/>
  <c r="G14" i="5"/>
  <c r="E24" i="5"/>
  <c r="H24" i="5"/>
  <c r="G24" i="5"/>
  <c r="G26" i="5"/>
  <c r="H26" i="5"/>
  <c r="F26" i="5"/>
  <c r="G23" i="5"/>
  <c r="H23" i="5"/>
  <c r="F18" i="5"/>
  <c r="E23" i="5"/>
  <c r="E26" i="5"/>
  <c r="E16" i="5"/>
  <c r="H25" i="5"/>
  <c r="G25" i="5"/>
  <c r="F23" i="5"/>
  <c r="AB8" i="9"/>
  <c r="AB5" i="9"/>
  <c r="AB6" i="9"/>
  <c r="P5" i="9"/>
  <c r="P9" i="9"/>
  <c r="P6" i="9"/>
  <c r="J8" i="9"/>
  <c r="J5" i="9"/>
  <c r="J9" i="9"/>
  <c r="D6" i="9"/>
  <c r="D7" i="9"/>
  <c r="D8" i="9"/>
  <c r="D5" i="9"/>
  <c r="E17" i="5"/>
  <c r="G17" i="5"/>
  <c r="F15" i="5"/>
  <c r="E14" i="5"/>
  <c r="F14" i="5"/>
  <c r="B35" i="7"/>
  <c r="A35" i="7"/>
  <c r="B22" i="7"/>
  <c r="A22" i="7"/>
  <c r="C8" i="7"/>
  <c r="E13" i="7" s="1"/>
  <c r="B8" i="7"/>
  <c r="B14" i="7" s="1"/>
  <c r="B34" i="6"/>
  <c r="A34" i="6"/>
  <c r="D20" i="6"/>
  <c r="E20" i="6"/>
  <c r="C20" i="6"/>
  <c r="B20" i="6"/>
  <c r="A20" i="6"/>
  <c r="E14" i="6"/>
  <c r="E13" i="6"/>
  <c r="E12" i="6"/>
  <c r="E28" i="6"/>
  <c r="E27" i="6"/>
  <c r="E26" i="6"/>
  <c r="E25" i="6"/>
  <c r="E24" i="6"/>
  <c r="B28" i="6"/>
  <c r="B27" i="6"/>
  <c r="B26" i="6"/>
  <c r="B25" i="6"/>
  <c r="B24" i="6"/>
  <c r="B14" i="6"/>
  <c r="B13" i="6"/>
  <c r="B12" i="6"/>
  <c r="C8" i="6"/>
  <c r="B8" i="6"/>
  <c r="G14" i="6"/>
  <c r="G13" i="6"/>
  <c r="G12" i="6"/>
  <c r="H42" i="5"/>
  <c r="G42" i="5"/>
  <c r="C42" i="5"/>
  <c r="E42" i="5" s="1"/>
  <c r="B42" i="5"/>
  <c r="F42" i="5" s="1"/>
  <c r="H41" i="5"/>
  <c r="G41" i="5"/>
  <c r="C41" i="5"/>
  <c r="E41" i="5" s="1"/>
  <c r="B41" i="5"/>
  <c r="F41" i="5" s="1"/>
  <c r="H40" i="5"/>
  <c r="G40" i="5"/>
  <c r="C40" i="5"/>
  <c r="E40" i="5" s="1"/>
  <c r="B40" i="5"/>
  <c r="F40" i="5" s="1"/>
  <c r="H39" i="5"/>
  <c r="G39" i="5"/>
  <c r="F39" i="5"/>
  <c r="C39" i="5"/>
  <c r="E39" i="5" s="1"/>
  <c r="B39" i="5"/>
  <c r="H38" i="5"/>
  <c r="G38" i="5"/>
  <c r="C38" i="5"/>
  <c r="E38" i="5" s="1"/>
  <c r="B38" i="5"/>
  <c r="F38" i="5" s="1"/>
  <c r="H34" i="5"/>
  <c r="G34" i="5"/>
  <c r="C34" i="5"/>
  <c r="E34" i="5" s="1"/>
  <c r="B34" i="5"/>
  <c r="F34" i="5" s="1"/>
  <c r="H33" i="5"/>
  <c r="G33" i="5"/>
  <c r="C33" i="5"/>
  <c r="E33" i="5" s="1"/>
  <c r="B33" i="5"/>
  <c r="F33" i="5" s="1"/>
  <c r="H32" i="5"/>
  <c r="G32" i="5"/>
  <c r="F32" i="5"/>
  <c r="C32" i="5"/>
  <c r="E32" i="5" s="1"/>
  <c r="B32" i="5"/>
  <c r="H31" i="5"/>
  <c r="G31" i="5"/>
  <c r="C31" i="5"/>
  <c r="E31" i="5" s="1"/>
  <c r="B31" i="5"/>
  <c r="F31" i="5" s="1"/>
  <c r="H30" i="5"/>
  <c r="G30" i="5"/>
  <c r="C30" i="5"/>
  <c r="E30" i="5" s="1"/>
  <c r="B30" i="5"/>
  <c r="F30" i="5" s="1"/>
  <c r="C10" i="5"/>
  <c r="E10" i="5" s="1"/>
  <c r="B10" i="5"/>
  <c r="F10" i="5" s="1"/>
  <c r="C9" i="5"/>
  <c r="E9" i="5" s="1"/>
  <c r="B9" i="5"/>
  <c r="F9" i="5" s="1"/>
  <c r="C8" i="5"/>
  <c r="E8" i="5" s="1"/>
  <c r="B8" i="5"/>
  <c r="F8" i="5" s="1"/>
  <c r="C7" i="5"/>
  <c r="E7" i="5" s="1"/>
  <c r="B7" i="5"/>
  <c r="F7" i="5" s="1"/>
  <c r="C6" i="5"/>
  <c r="E6" i="5" s="1"/>
  <c r="B6" i="5"/>
  <c r="F6" i="5" s="1"/>
  <c r="B15" i="7" l="1"/>
  <c r="E14" i="7"/>
  <c r="B13" i="7"/>
  <c r="E15" i="7"/>
  <c r="E16" i="7"/>
  <c r="B12" i="7"/>
  <c r="B27" i="7"/>
  <c r="E27" i="7" s="1"/>
  <c r="B29" i="7"/>
  <c r="E29" i="7" s="1"/>
  <c r="E12" i="7"/>
  <c r="B16" i="7"/>
  <c r="B26" i="7"/>
  <c r="E26" i="7" s="1"/>
  <c r="B28" i="7"/>
  <c r="E28" i="7" s="1"/>
  <c r="R24" i="1"/>
  <c r="R12" i="1"/>
  <c r="C15" i="1" s="1"/>
  <c r="C14" i="2" l="1"/>
  <c r="C15" i="2"/>
  <c r="B15" i="2" l="1"/>
  <c r="B14" i="2"/>
  <c r="P80" i="1" l="1"/>
  <c r="P79" i="1"/>
  <c r="P51" i="1" l="1"/>
  <c r="P50" i="1"/>
  <c r="P49" i="1"/>
  <c r="B94" i="1" l="1"/>
  <c r="B95" i="1" s="1"/>
  <c r="B90" i="1"/>
  <c r="A95" i="1"/>
  <c r="G82" i="1"/>
  <c r="D81" i="1"/>
  <c r="E90" i="1"/>
  <c r="D80" i="1"/>
  <c r="B86" i="1"/>
  <c r="B87" i="1" s="1"/>
  <c r="D79" i="1"/>
  <c r="D83" i="1" s="1"/>
  <c r="J70" i="1" s="1"/>
  <c r="J71" i="1" s="1"/>
  <c r="B70" i="1"/>
  <c r="B69" i="1" s="1"/>
  <c r="B76" i="1" s="1"/>
  <c r="C76" i="1" s="1"/>
  <c r="B73" i="1"/>
  <c r="B71" i="1"/>
  <c r="N85" i="1"/>
  <c r="R25" i="1"/>
  <c r="C48" i="1" s="1"/>
  <c r="E63" i="1" s="1"/>
  <c r="F63" i="1" s="1"/>
  <c r="H63" i="1" s="1"/>
  <c r="C47" i="1"/>
  <c r="D47" i="1" s="1"/>
  <c r="R23" i="1"/>
  <c r="S23" i="1" s="1"/>
  <c r="R13" i="1"/>
  <c r="R11" i="1"/>
  <c r="S12" i="1"/>
  <c r="S11" i="1"/>
  <c r="B63" i="1"/>
  <c r="B62" i="1"/>
  <c r="C58" i="1"/>
  <c r="D58" i="1" s="1"/>
  <c r="C49" i="1"/>
  <c r="E58" i="1" s="1"/>
  <c r="B49" i="1"/>
  <c r="B41" i="1" s="1"/>
  <c r="B48" i="1"/>
  <c r="B47" i="1"/>
  <c r="B38" i="1" s="1"/>
  <c r="D63" i="1"/>
  <c r="A63" i="1"/>
  <c r="C62" i="1"/>
  <c r="D62" i="1" s="1"/>
  <c r="G50" i="1"/>
  <c r="B39" i="1"/>
  <c r="C26" i="1"/>
  <c r="C30" i="1" s="1"/>
  <c r="B26" i="1"/>
  <c r="B17" i="1"/>
  <c r="B9" i="1" s="1"/>
  <c r="B16" i="1"/>
  <c r="B7" i="1" s="1"/>
  <c r="B15" i="1"/>
  <c r="B6" i="1" s="1"/>
  <c r="B5" i="1" s="1"/>
  <c r="S13" i="1"/>
  <c r="D31" i="1"/>
  <c r="A31" i="1"/>
  <c r="G18" i="1"/>
  <c r="F90" i="1" l="1"/>
  <c r="F91" i="1" s="1"/>
  <c r="B74" i="1"/>
  <c r="D95" i="1"/>
  <c r="D94" i="1"/>
  <c r="E95" i="1"/>
  <c r="F95" i="1" s="1"/>
  <c r="H95" i="1" s="1"/>
  <c r="G90" i="1"/>
  <c r="G91" i="1" s="1"/>
  <c r="E94" i="1"/>
  <c r="G94" i="1" s="1"/>
  <c r="G96" i="1" s="1"/>
  <c r="D90" i="1"/>
  <c r="S24" i="1"/>
  <c r="S25" i="1"/>
  <c r="G58" i="1"/>
  <c r="G59" i="1" s="1"/>
  <c r="B37" i="1"/>
  <c r="B44" i="1" s="1"/>
  <c r="C44" i="1" s="1"/>
  <c r="D48" i="1"/>
  <c r="F58" i="1"/>
  <c r="B54" i="1"/>
  <c r="B55" i="1" s="1"/>
  <c r="E62" i="1"/>
  <c r="F62" i="1" s="1"/>
  <c r="D49" i="1"/>
  <c r="C17" i="1"/>
  <c r="E26" i="1" s="1"/>
  <c r="G26" i="1" s="1"/>
  <c r="G27" i="1" s="1"/>
  <c r="B22" i="1"/>
  <c r="B23" i="1" s="1"/>
  <c r="S14" i="1"/>
  <c r="S16" i="1" s="1"/>
  <c r="C16" i="1"/>
  <c r="E31" i="1" s="1"/>
  <c r="F31" i="1" s="1"/>
  <c r="H31" i="1" s="1"/>
  <c r="B12" i="1"/>
  <c r="C12" i="1" s="1"/>
  <c r="E30" i="1"/>
  <c r="G30" i="1" s="1"/>
  <c r="G32" i="1" s="1"/>
  <c r="B10" i="1"/>
  <c r="F94" i="1" l="1"/>
  <c r="H94" i="1" s="1"/>
  <c r="H96" i="1" s="1"/>
  <c r="F96" i="1"/>
  <c r="H90" i="1"/>
  <c r="H91" i="1" s="1"/>
  <c r="S26" i="1"/>
  <c r="S31" i="1" s="1"/>
  <c r="S19" i="1"/>
  <c r="D17" i="1"/>
  <c r="D51" i="1"/>
  <c r="J38" i="1" s="1"/>
  <c r="B42" i="1"/>
  <c r="F64" i="1"/>
  <c r="G62" i="1"/>
  <c r="G64" i="1" s="1"/>
  <c r="F59" i="1"/>
  <c r="H58" i="1"/>
  <c r="H59" i="1" s="1"/>
  <c r="D16" i="1"/>
  <c r="D15" i="1"/>
  <c r="F26" i="1"/>
  <c r="D26" i="1"/>
  <c r="J39" i="1" l="1"/>
  <c r="E9" i="2"/>
  <c r="F9" i="2" s="1"/>
  <c r="E4" i="2"/>
  <c r="F4" i="2" s="1"/>
  <c r="E7" i="2"/>
  <c r="F7" i="2" s="1"/>
  <c r="E12" i="2"/>
  <c r="F12" i="2" s="1"/>
  <c r="J69" i="1"/>
  <c r="J72" i="1" s="1"/>
  <c r="S28" i="1"/>
  <c r="H62" i="1"/>
  <c r="H64" i="1" s="1"/>
  <c r="J37" i="1" s="1"/>
  <c r="D19" i="1"/>
  <c r="J6" i="1" s="1"/>
  <c r="F30" i="1"/>
  <c r="D30" i="1"/>
  <c r="F27" i="1"/>
  <c r="H26" i="1"/>
  <c r="H27" i="1" s="1"/>
  <c r="J40" i="1" l="1"/>
  <c r="D12" i="2"/>
  <c r="G12" i="2" s="1"/>
  <c r="D9" i="2"/>
  <c r="G9" i="2" s="1"/>
  <c r="D4" i="2"/>
  <c r="G4" i="2" s="1"/>
  <c r="D7" i="2"/>
  <c r="G7" i="2" s="1"/>
  <c r="J43" i="1"/>
  <c r="J44" i="1" s="1"/>
  <c r="J7" i="1"/>
  <c r="E6" i="2"/>
  <c r="F6" i="2" s="1"/>
  <c r="E10" i="2"/>
  <c r="F10" i="2" s="1"/>
  <c r="E5" i="2"/>
  <c r="F5" i="2" s="1"/>
  <c r="E11" i="2"/>
  <c r="F11" i="2" s="1"/>
  <c r="F32" i="1"/>
  <c r="H30" i="1"/>
  <c r="H32" i="1" s="1"/>
  <c r="J5" i="1" s="1"/>
  <c r="F15" i="2" l="1"/>
  <c r="F14" i="2"/>
  <c r="D11" i="2"/>
  <c r="G11" i="2" s="1"/>
  <c r="D6" i="2"/>
  <c r="G6" i="2" s="1"/>
  <c r="D10" i="2"/>
  <c r="G10" i="2" s="1"/>
  <c r="D5" i="2"/>
  <c r="G5" i="2" s="1"/>
  <c r="J11" i="1"/>
  <c r="J12" i="1" s="1"/>
  <c r="J8" i="1"/>
</calcChain>
</file>

<file path=xl/sharedStrings.xml><?xml version="1.0" encoding="utf-8"?>
<sst xmlns="http://schemas.openxmlformats.org/spreadsheetml/2006/main" count="553" uniqueCount="231">
  <si>
    <t>Nominal square ft</t>
  </si>
  <si>
    <t># floors (Single or Multi)</t>
  </si>
  <si>
    <t>m</t>
  </si>
  <si>
    <t>Envelope area</t>
  </si>
  <si>
    <t xml:space="preserve">  (First Floor)</t>
  </si>
  <si>
    <t># bedrooms (include Master)</t>
  </si>
  <si>
    <t xml:space="preserve">  (Second Floor)</t>
  </si>
  <si>
    <t># bathrooms</t>
  </si>
  <si>
    <t xml:space="preserve">  (Attic)</t>
  </si>
  <si>
    <t># returns</t>
  </si>
  <si>
    <t>CFM/sf enclosure</t>
  </si>
  <si>
    <t>62.2 P Rate</t>
  </si>
  <si>
    <t>(Watts)</t>
  </si>
  <si>
    <t>Volume calcs</t>
  </si>
  <si>
    <t>area(sf)</t>
  </si>
  <si>
    <t>height</t>
  </si>
  <si>
    <t>volume</t>
  </si>
  <si>
    <t>First floor</t>
  </si>
  <si>
    <t>Second floor</t>
  </si>
  <si>
    <t>Vault cutout</t>
  </si>
  <si>
    <t>Overhangs</t>
  </si>
  <si>
    <t>Over garage</t>
  </si>
  <si>
    <t>Cantilevers</t>
  </si>
  <si>
    <t>Ceilings</t>
  </si>
  <si>
    <t>sf</t>
  </si>
  <si>
    <t>Main roof</t>
  </si>
  <si>
    <t>Total</t>
  </si>
  <si>
    <t>exp. Peri</t>
  </si>
  <si>
    <t>gar. peri</t>
  </si>
  <si>
    <t>total</t>
  </si>
  <si>
    <t>expos</t>
  </si>
  <si>
    <t>garage</t>
  </si>
  <si>
    <t>Wall areas</t>
  </si>
  <si>
    <t>Above Grade Area</t>
  </si>
  <si>
    <t xml:space="preserve">  (Ground Floor)</t>
  </si>
  <si>
    <t>Ground Floor</t>
  </si>
  <si>
    <t>Adams Rear Garage Plan</t>
  </si>
  <si>
    <t>Ground</t>
  </si>
  <si>
    <t>First</t>
  </si>
  <si>
    <t>Second</t>
  </si>
  <si>
    <t>3 ACH 50</t>
  </si>
  <si>
    <t>Duct blaster maximum</t>
  </si>
  <si>
    <t>In ACH</t>
  </si>
  <si>
    <t>maximum ACH blowable</t>
  </si>
  <si>
    <t>Jefferson Rear Garage Plan</t>
  </si>
  <si>
    <t>TO5 2014 2.1 Multifamily Airtightness BA Project</t>
  </si>
  <si>
    <t>Second floor overhang</t>
  </si>
  <si>
    <t>CFM 50 Goal @ 3 ACH 50</t>
  </si>
  <si>
    <t>Volume cubic ft</t>
  </si>
  <si>
    <t>Target at 0.25 CFM 50/sf enclosure</t>
  </si>
  <si>
    <t>ACH 50 at above target</t>
  </si>
  <si>
    <t>wide</t>
  </si>
  <si>
    <t>deep</t>
  </si>
  <si>
    <t>Imaginary 2000 sf box house</t>
  </si>
  <si>
    <t>Adams Rear Garage Plan (Inside Unit)</t>
  </si>
  <si>
    <t>Jefferson Rear Garage Plan (End Unit)</t>
  </si>
  <si>
    <t>Hill (2005) work</t>
  </si>
  <si>
    <t>Previous Blower Door Tests</t>
  </si>
  <si>
    <t>Bldg/Lot</t>
  </si>
  <si>
    <t>ACH</t>
  </si>
  <si>
    <t>Average</t>
  </si>
  <si>
    <t>StDev</t>
  </si>
  <si>
    <t>DC Testing</t>
  </si>
  <si>
    <t>Email airtightness data--Dave Bell?</t>
  </si>
  <si>
    <t>Will duct blasters work correctly with controller?</t>
  </si>
  <si>
    <t>Does Entellis have the right controllers?</t>
  </si>
  <si>
    <t>Masking protocol/checklist--what to tape, garage door open or closed</t>
  </si>
  <si>
    <t>dP to cavity over garage?</t>
  </si>
  <si>
    <t>Ladders access--attic hatch?</t>
  </si>
  <si>
    <t>Booties</t>
  </si>
  <si>
    <t>dP to garage testing</t>
  </si>
  <si>
    <t>Scratch Work</t>
  </si>
  <si>
    <t>Finch (2009) work</t>
  </si>
  <si>
    <t>Protecto Super Stick Building Tape</t>
  </si>
  <si>
    <t>CFM 50</t>
  </si>
  <si>
    <t>Recheck ACH 50</t>
  </si>
  <si>
    <t>Area</t>
  </si>
  <si>
    <t>Volume</t>
  </si>
  <si>
    <t>CFM 50/sf enclosure</t>
  </si>
  <si>
    <t>Working with Entellis</t>
  </si>
  <si>
    <t>DG700s--need serial cables, other parts?</t>
  </si>
  <si>
    <t>Don't forget frames and shrouds for duct blaster, if using it</t>
  </si>
  <si>
    <t>Duct blaster controller the right kind?</t>
  </si>
  <si>
    <t>Camera protocol--what unit?</t>
  </si>
  <si>
    <t>3 shower caps--bring for 3 blower doors</t>
  </si>
  <si>
    <t>3M tape</t>
  </si>
  <si>
    <t>To Ship</t>
  </si>
  <si>
    <t>Equipment List: General</t>
  </si>
  <si>
    <t>Walkie-Talkies</t>
  </si>
  <si>
    <t>Spare BD controller?</t>
  </si>
  <si>
    <t>Wires</t>
  </si>
  <si>
    <t>Connectors for common pressure port</t>
  </si>
  <si>
    <t>Hose--lots of tubing</t>
  </si>
  <si>
    <t>By address and who?</t>
  </si>
  <si>
    <t>Fan</t>
  </si>
  <si>
    <t>Shroud</t>
  </si>
  <si>
    <t>Frame</t>
  </si>
  <si>
    <t>Address</t>
  </si>
  <si>
    <t>Lot 73 Jefferson</t>
  </si>
  <si>
    <t>BD-Entellis</t>
  </si>
  <si>
    <t>Entellis</t>
  </si>
  <si>
    <t>Lot 74 Adams</t>
  </si>
  <si>
    <t>Lot 77 Jefferson</t>
  </si>
  <si>
    <t>Lot 75 Adams</t>
  </si>
  <si>
    <t>Lot 76 Adams</t>
  </si>
  <si>
    <t>DB-BSC</t>
  </si>
  <si>
    <t>BSC</t>
  </si>
  <si>
    <t>Extra USB to Serial connectors</t>
  </si>
  <si>
    <t>USB to Serial x4 rig</t>
  </si>
  <si>
    <t>Controller</t>
  </si>
  <si>
    <t>White board--tracking</t>
  </si>
  <si>
    <t>Serial Cable</t>
  </si>
  <si>
    <t>BD=Minneapolis Blower door; DB = Energy Conservatory Duct Blaster</t>
  </si>
  <si>
    <t>DG-700</t>
  </si>
  <si>
    <t>Changed to 9 foot plates for first floor 2014-02</t>
  </si>
  <si>
    <t>ACH 50</t>
  </si>
  <si>
    <t>Surface Area</t>
  </si>
  <si>
    <t>2014-02-19 BSC Blower Door Tests</t>
  </si>
  <si>
    <t>Initial Solo Testing</t>
  </si>
  <si>
    <t>Retest with Parallel Fans, Individually-Outside Air Taped Off</t>
  </si>
  <si>
    <t>ΔCFM 50</t>
  </si>
  <si>
    <t>ΔCFM 50 %</t>
  </si>
  <si>
    <t>6706 P</t>
  </si>
  <si>
    <t>CFM</t>
  </si>
  <si>
    <t>6706 Mech P</t>
  </si>
  <si>
    <t>ΔP Baselined</t>
  </si>
  <si>
    <t>CFM Total</t>
  </si>
  <si>
    <t>Baseline Tests</t>
  </si>
  <si>
    <t>Beginning</t>
  </si>
  <si>
    <t>Middle</t>
  </si>
  <si>
    <t>End</t>
  </si>
  <si>
    <t>6706 WRT Ext</t>
  </si>
  <si>
    <t>Mech WRT 6706</t>
  </si>
  <si>
    <t>Nulled Test (Fan running in 6706 and in mechanical room)</t>
  </si>
  <si>
    <t>Non-nulled test (Fan running in 6706; measure ΔP to mechanical room)</t>
  </si>
  <si>
    <t>ΔP WRT Out Baselined</t>
  </si>
  <si>
    <t>6706 Mech P WRT 6706</t>
  </si>
  <si>
    <t>% Outside</t>
  </si>
  <si>
    <t>Unit</t>
  </si>
  <si>
    <t>Mech Rm</t>
  </si>
  <si>
    <t>C</t>
  </si>
  <si>
    <t>n</t>
  </si>
  <si>
    <t>ΔP</t>
  </si>
  <si>
    <t>Garage Testing</t>
  </si>
  <si>
    <t>Mechanical Room Testing</t>
  </si>
  <si>
    <t>Garage WRT 6706</t>
  </si>
  <si>
    <t>Garage door closed on this tests</t>
  </si>
  <si>
    <t>Garage Door Open Test (Comparison)</t>
  </si>
  <si>
    <t>Garage Door Closed Test</t>
  </si>
  <si>
    <t>Retest with Parallel Fans, Individually-Outside Air Taped Off-Ballpark from eyeballing</t>
  </si>
  <si>
    <t>Fully Nulled Test-Outside Air Taped Off-Ballpark from eyeballing</t>
  </si>
  <si>
    <t>BSC Blower Door Tests-Detailed, Computing C &amp; n</t>
  </si>
  <si>
    <t>Baseline</t>
  </si>
  <si>
    <t>Pressure</t>
  </si>
  <si>
    <t>StDev ΔP</t>
  </si>
  <si>
    <t>StDev CFM</t>
  </si>
  <si>
    <t>Fully Nulled Test-Outside Air Taped Off</t>
  </si>
  <si>
    <t>Baseline StDev</t>
  </si>
  <si>
    <t>ΔP Raw</t>
  </si>
  <si>
    <t>CFM StDev</t>
  </si>
  <si>
    <t>ΔP Bslined</t>
  </si>
  <si>
    <t>WRT Prev Retest</t>
  </si>
  <si>
    <t>% difference between two plans</t>
  </si>
  <si>
    <t>area</t>
  </si>
  <si>
    <t>Unit 6700-End, Jefferson</t>
  </si>
  <si>
    <t>Unit 6702-Mid, Adams</t>
  </si>
  <si>
    <t>Unit 6704-Mid, Adams</t>
  </si>
  <si>
    <t>Unit 6706-Mid, Adams</t>
  </si>
  <si>
    <t>Unit 6708-End, Jefferson</t>
  </si>
  <si>
    <t>Unit 6700-Guarded</t>
  </si>
  <si>
    <t>Unit 6702-Guarded</t>
  </si>
  <si>
    <t>Unit 6704-Guarded</t>
  </si>
  <si>
    <t>Unit 6706-Guarded</t>
  </si>
  <si>
    <t>Unit 6708-Guarded</t>
  </si>
  <si>
    <t>Non-Nulled Individual Unit Tests--2 point tests</t>
  </si>
  <si>
    <t>EqLA Reduction</t>
  </si>
  <si>
    <t xml:space="preserve">For EqLA, we multiply CFM 50 by 0.103. For ELA, we multiply CFM 50 by 0.055 </t>
  </si>
  <si>
    <t>Garage P?</t>
  </si>
  <si>
    <t>This was in D25 before--just copy &amp; paste error?</t>
  </si>
  <si>
    <t>Mitsubishi M-Series - 20,000 BTU - Dual Zone - Mini Split Outdoor Condenser - Heat Pump - 18 SEER</t>
  </si>
  <si>
    <t>Mitsubishi M-Series - 36,000 BTU - Dual/Tri/Quad Zone - Mini Split Outdoor Condenser - Heat Pump - 18 SEER</t>
  </si>
  <si>
    <t>Mitsubishi M-Series - 30,000 BTU - Dual/Tri Zone - Mini Split Outdoor Condenser - Heat Pump - 17.5 SEER</t>
  </si>
  <si>
    <t>Mitsubishi M-Series - 24,000 BTU - Dual/Tri Zone - Mini Split Outdoor Condenser - Heat Pump - 17.5 SEER</t>
  </si>
  <si>
    <t>Mitsubishi M-Series - 48,000 BTU - Up to 8 Zones - Mini Split Outdoor Condenser - Heat Pump - 15 SEER</t>
  </si>
  <si>
    <t>Mitsubishi M-Series - 42,000 BTU - Dual/Tri/Quad/Five Zone - Mini Split Outdoor Condenser - Heat Pump - 18.4 SEER</t>
  </si>
  <si>
    <t>Outdoor Units</t>
  </si>
  <si>
    <t>Wall Mount Units</t>
  </si>
  <si>
    <t>Mitsubishi M-Series - 6,000 BTU - Mini Split Indoor Unit - Wall Mounted - Heat Pump</t>
  </si>
  <si>
    <t>Mitsubishi M-Series - 9,000 BTU - Mini Split Indoor Unit - Wall Mounted - Heat Pump</t>
  </si>
  <si>
    <t>Mitsubishi M-Series - Hyper-Heating - 12,000 BTU - Mini Split Indoor Unit - Wall Mounted - Heat Pump</t>
  </si>
  <si>
    <t>Mitsubishi M-Series - Hyper-Heating - 9,000 BTU - Mini Split Indoor Unit - Wall Mounted - Heat Pump</t>
  </si>
  <si>
    <t>Mitsubishi M-Series - 18,000 BTU - Mini Split Indoor Unit - Wall Mounted - Heat Pump</t>
  </si>
  <si>
    <t>Mitsubishi M-Series - 12,000 BTU - Mini Split Indoor Unit - Wall Mounted - Heat Pump</t>
  </si>
  <si>
    <t>Mitsubishi M-Series - Hyper-Heating - 18,000 BTU - Mini Split Indoor Unit - Wall Mounted - Heat Pump</t>
  </si>
  <si>
    <t>Mitsubishi M-Series - 15,000 BTU - Mini Split Indoor Unit - Wall Mounted - Heat Pump</t>
  </si>
  <si>
    <t>Δ$ non Hyper Heating</t>
  </si>
  <si>
    <t>Recessed Units</t>
  </si>
  <si>
    <t>Mitsubishi P-Series - 24,000 BTU - Mini Split Indoor Unit - Concealed Duct - Heat Pump</t>
  </si>
  <si>
    <t>Mitsubishi M-Series - 12,000 BTU - Mini Split Indoor Unit - Concealed Duct - Heat Pump</t>
  </si>
  <si>
    <t>Mitsubishi M-Series - 9,000 BTU - Mini Split Indoor Unit - Concealed Duct - Heat Pump</t>
  </si>
  <si>
    <t>Mitsubishi M-Series - 15,000 BTU - Mini Split Indoor Unit - Concealed Duct - Heat Pump</t>
  </si>
  <si>
    <t>Mitsubishi M-Series - 18,000 BTU - Mini Split Indoor Unit - Concealed Duct - Heat Pump</t>
  </si>
  <si>
    <t>Δ$ vs. wall mount</t>
  </si>
  <si>
    <t>ecomfort.com Mitsubishi pricing</t>
  </si>
  <si>
    <t>Typical package price</t>
  </si>
  <si>
    <t>Goodman GSX13 - 3 Ton - Air Conditioning Condenser - 13 SEER - Single-Stage - R-410A Refrigerant</t>
  </si>
  <si>
    <t>Goodman GSX13 - 2.5 Ton - Air Conditioning Condenser - 13 SEER - Single-Stage - R-410A Refrigerant</t>
  </si>
  <si>
    <t>Goodman GSX13 - 5 Ton - Air Conditioning Condenser - 13 SEER - Single-Stage - R-410A Refrigerant</t>
  </si>
  <si>
    <t>Goodman GSX13 - 2 Ton - Air Conditioning Condenser - 13 SEER - Single-Stage - R-410A Refrigerant</t>
  </si>
  <si>
    <t>Goodman GSX13 - 4 Ton - Air Conditioning Condenser - 13 SEER - Single-Stage - R-410A Refrigerant</t>
  </si>
  <si>
    <t>Goodman GSX13 - 3.5 Ton - Air Conditioning Condenser - 13 SEER - Single-Stage - R-410A Refrigerant</t>
  </si>
  <si>
    <t>Goodman GSX13 - 1.5 Ton - Air Conditioning Condenser - 13 SEER - Single-Stage - R-410A Refrigerant</t>
  </si>
  <si>
    <t>Goodman Outdoor Condensers; site had 2.5 and 3 tons</t>
  </si>
  <si>
    <t>Goodman CAPF - 1.5-2 Ton - Upflow/Downflow Coil - Cased</t>
  </si>
  <si>
    <t>Goodman CAPF - 4-5 Ton - Upflow/Downflow Coil - Cased</t>
  </si>
  <si>
    <t>Goodman CAPF - 3 Ton - Upflow/Downflow Coil - Cased</t>
  </si>
  <si>
    <t>Goodman CAPF - 3-3.5 Ton - Upflow/Downflow Coil - Cased</t>
  </si>
  <si>
    <t>Goodman CAPF - 2.5 Ton - Upflow/Downflow Coil - Cased</t>
  </si>
  <si>
    <t>Goodman Indoor coils; site had 1824 units</t>
  </si>
  <si>
    <t>Goodman GKS90 - 70,000 BTU - Gas-Fired Furnace - NG - 92.1% AFUE - Single-Stage - Upflow - Multi-Speed</t>
  </si>
  <si>
    <t>Goodman GKS90 - 45,000 BTU - Gas-Fired Furnace - NG - 92.1% AFUE - Single-Stage - Upflow - Multi-Speed</t>
  </si>
  <si>
    <t>Goodman GKS90 - 90,000 BTU - Gas-Fired Furnace - NG - 92.1% AFUE - Single-Stage - Upflow - Multi-Speed</t>
  </si>
  <si>
    <t>Goodman GKS91 - 115,000 BTU - Gas-Fired Furnace - NG - 92.1% AFUE - Single-Stage - Upflow - Multi-Speed</t>
  </si>
  <si>
    <t>Goodman furnaces</t>
  </si>
  <si>
    <t>System cost for Goodman HVAC</t>
  </si>
  <si>
    <t>Unit to Exterior (Nulled)</t>
  </si>
  <si>
    <t>Unit to Exterior (Non-Nulled)</t>
  </si>
  <si>
    <t>EqLA (Sq. In.)</t>
  </si>
  <si>
    <t>Mech. Room to Exterior (Nulled)</t>
  </si>
  <si>
    <t>Mech. Room to Unit (Calculated)</t>
  </si>
  <si>
    <t>Sum of Nulled Tests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</si>
</sst>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0.0"/>
    <numFmt numFmtId="165" formatCode="0.0%"/>
  </numFmts>
  <fonts count="19" x14ac:knownFonts="1">
    <font>
      <sz val="11"/>
      <color theme="1"/>
      <name val="Calibri"/>
      <family val="2"/>
      <scheme val="minor"/>
    </font>
    <font>
      <b/>
      <u/>
      <sz val="10"/>
      <name val="Arial"/>
      <family val="2"/>
    </font>
    <font>
      <b/>
      <sz val="10"/>
      <name val="Arial"/>
      <family val="2"/>
    </font>
    <font>
      <sz val="10"/>
      <name val="Arial"/>
      <family val="2"/>
    </font>
    <font>
      <sz val="10"/>
      <color indexed="10"/>
      <name val="Arial"/>
      <family val="2"/>
    </font>
    <font>
      <b/>
      <sz val="14"/>
      <name val="Arial"/>
      <family val="2"/>
    </font>
    <font>
      <sz val="10"/>
      <color theme="0" tint="-0.499984740745262"/>
      <name val="Arial"/>
      <family val="2"/>
    </font>
    <font>
      <b/>
      <sz val="11"/>
      <color theme="1"/>
      <name val="Calibri"/>
      <family val="2"/>
      <scheme val="minor"/>
    </font>
    <font>
      <b/>
      <sz val="13"/>
      <color theme="1"/>
      <name val="Calibri"/>
      <family val="2"/>
      <scheme val="minor"/>
    </font>
    <font>
      <b/>
      <sz val="11"/>
      <color rgb="FF0000FF"/>
      <name val="Calibri"/>
      <family val="2"/>
      <scheme val="minor"/>
    </font>
    <font>
      <sz val="11"/>
      <color rgb="FF0000FF"/>
      <name val="Calibri"/>
      <family val="2"/>
      <scheme val="minor"/>
    </font>
    <font>
      <sz val="11"/>
      <color rgb="FFFF0000"/>
      <name val="Calibri"/>
      <family val="2"/>
      <scheme val="minor"/>
    </font>
    <font>
      <sz val="11"/>
      <color theme="0" tint="-0.499984740745262"/>
      <name val="Calibri"/>
      <family val="2"/>
      <scheme val="minor"/>
    </font>
    <font>
      <b/>
      <sz val="11"/>
      <name val="Calibri"/>
      <family val="2"/>
      <scheme val="minor"/>
    </font>
    <font>
      <sz val="11"/>
      <name val="Calibri"/>
      <family val="2"/>
      <scheme val="minor"/>
    </font>
    <font>
      <sz val="11"/>
      <color theme="1"/>
      <name val="Calibri"/>
      <family val="2"/>
      <scheme val="minor"/>
    </font>
    <font>
      <b/>
      <sz val="11"/>
      <color theme="0" tint="-0.499984740745262"/>
      <name val="Calibri"/>
      <family val="2"/>
      <scheme val="minor"/>
    </font>
    <font>
      <b/>
      <sz val="11"/>
      <color theme="0" tint="-0.34998626667073579"/>
      <name val="Calibri"/>
      <family val="2"/>
      <scheme val="minor"/>
    </font>
    <font>
      <sz val="11"/>
      <color theme="0" tint="-0.34998626667073579"/>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55"/>
        <bgColor indexed="64"/>
      </patternFill>
    </fill>
    <fill>
      <patternFill patternType="solid">
        <fgColor theme="6" tint="-0.249977111117893"/>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5" fillId="0" borderId="0" applyFont="0" applyFill="0" applyBorder="0" applyAlignment="0" applyProtection="0"/>
  </cellStyleXfs>
  <cellXfs count="143">
    <xf numFmtId="0" fontId="0" fillId="0" borderId="0" xfId="0"/>
    <xf numFmtId="164" fontId="1" fillId="0" borderId="0" xfId="0" applyNumberFormat="1" applyFont="1" applyAlignment="1">
      <alignment horizontal="right"/>
    </xf>
    <xf numFmtId="0" fontId="2" fillId="0" borderId="0" xfId="0" applyFont="1"/>
    <xf numFmtId="0" fontId="3" fillId="0" borderId="0" xfId="0" applyFont="1"/>
    <xf numFmtId="0" fontId="1" fillId="0" borderId="0" xfId="0" applyFont="1" applyAlignment="1">
      <alignment horizontal="left"/>
    </xf>
    <xf numFmtId="164" fontId="2" fillId="0" borderId="0" xfId="0" applyNumberFormat="1" applyFont="1" applyAlignment="1">
      <alignment horizontal="left"/>
    </xf>
    <xf numFmtId="164" fontId="3" fillId="0" borderId="0" xfId="0" applyNumberFormat="1" applyFont="1" applyFill="1" applyAlignment="1">
      <alignment horizontal="left"/>
    </xf>
    <xf numFmtId="164" fontId="1" fillId="0" borderId="0" xfId="0" applyNumberFormat="1" applyFont="1" applyFill="1" applyAlignment="1">
      <alignment horizontal="right"/>
    </xf>
    <xf numFmtId="0" fontId="3" fillId="0" borderId="0" xfId="0" applyFont="1" applyFill="1"/>
    <xf numFmtId="164" fontId="1" fillId="0" borderId="0" xfId="0" applyNumberFormat="1" applyFont="1" applyAlignment="1">
      <alignment horizontal="left"/>
    </xf>
    <xf numFmtId="164" fontId="3" fillId="0" borderId="0" xfId="0" applyNumberFormat="1" applyFont="1" applyAlignment="1">
      <alignment horizontal="right"/>
    </xf>
    <xf numFmtId="0" fontId="3" fillId="0" borderId="0" xfId="0" applyFont="1" applyAlignment="1">
      <alignment horizontal="right"/>
    </xf>
    <xf numFmtId="164" fontId="3" fillId="0" borderId="0" xfId="0" applyNumberFormat="1" applyFont="1" applyBorder="1" applyAlignment="1">
      <alignment horizontal="right"/>
    </xf>
    <xf numFmtId="1" fontId="3" fillId="0" borderId="0" xfId="0" applyNumberFormat="1" applyFont="1" applyFill="1" applyAlignment="1">
      <alignment horizontal="right"/>
    </xf>
    <xf numFmtId="1" fontId="3" fillId="0" borderId="0" xfId="0" applyNumberFormat="1" applyFont="1" applyAlignment="1">
      <alignment horizontal="right"/>
    </xf>
    <xf numFmtId="0" fontId="3" fillId="0" borderId="0" xfId="0" applyNumberFormat="1" applyFont="1" applyBorder="1" applyAlignment="1">
      <alignment horizontal="right"/>
    </xf>
    <xf numFmtId="1" fontId="3" fillId="2" borderId="0" xfId="0" applyNumberFormat="1" applyFont="1" applyFill="1" applyAlignment="1">
      <alignment horizontal="right"/>
    </xf>
    <xf numFmtId="164" fontId="3" fillId="2" borderId="0" xfId="0" applyNumberFormat="1" applyFont="1" applyFill="1" applyAlignment="1">
      <alignment horizontal="right"/>
    </xf>
    <xf numFmtId="164" fontId="3" fillId="0" borderId="0" xfId="0" applyNumberFormat="1" applyFont="1" applyFill="1" applyAlignment="1">
      <alignment horizontal="right"/>
    </xf>
    <xf numFmtId="0" fontId="3" fillId="0" borderId="0" xfId="0" applyNumberFormat="1" applyFont="1" applyFill="1" applyBorder="1" applyAlignment="1">
      <alignment horizontal="right"/>
    </xf>
    <xf numFmtId="0" fontId="3" fillId="0" borderId="0" xfId="0" applyFont="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xf>
    <xf numFmtId="164" fontId="0" fillId="0" borderId="0" xfId="0" applyNumberFormat="1" applyFont="1" applyAlignment="1">
      <alignment horizontal="right"/>
    </xf>
    <xf numFmtId="2" fontId="3" fillId="2" borderId="0" xfId="0" applyNumberFormat="1" applyFont="1" applyFill="1" applyAlignment="1">
      <alignment horizontal="right"/>
    </xf>
    <xf numFmtId="2" fontId="3" fillId="0" borderId="0" xfId="0" applyNumberFormat="1" applyFont="1"/>
    <xf numFmtId="164" fontId="3" fillId="0" borderId="0" xfId="0" applyNumberFormat="1" applyFont="1" applyAlignment="1">
      <alignment horizontal="left"/>
    </xf>
    <xf numFmtId="0" fontId="2" fillId="0" borderId="0" xfId="0" applyFont="1" applyAlignment="1">
      <alignment horizontal="left"/>
    </xf>
    <xf numFmtId="0" fontId="3" fillId="0" borderId="0" xfId="0" applyFont="1" applyBorder="1"/>
    <xf numFmtId="0" fontId="3" fillId="0" borderId="0" xfId="0" applyFont="1" applyAlignment="1">
      <alignment horizontal="left"/>
    </xf>
    <xf numFmtId="0" fontId="0" fillId="0" borderId="0" xfId="0" applyFont="1" applyAlignment="1">
      <alignment horizontal="left"/>
    </xf>
    <xf numFmtId="0" fontId="3" fillId="0" borderId="9" xfId="0" applyFont="1" applyBorder="1" applyAlignment="1">
      <alignment horizontal="left"/>
    </xf>
    <xf numFmtId="164" fontId="3" fillId="3" borderId="9" xfId="0" applyNumberFormat="1" applyFont="1" applyFill="1" applyBorder="1" applyAlignment="1">
      <alignment horizontal="right"/>
    </xf>
    <xf numFmtId="164" fontId="3" fillId="0" borderId="9" xfId="0" applyNumberFormat="1" applyFont="1" applyBorder="1" applyAlignment="1">
      <alignment horizontal="right"/>
    </xf>
    <xf numFmtId="164" fontId="2" fillId="0" borderId="9" xfId="0" applyNumberFormat="1" applyFont="1" applyBorder="1" applyAlignment="1">
      <alignment horizontal="right"/>
    </xf>
    <xf numFmtId="164" fontId="3" fillId="4" borderId="9" xfId="0" applyNumberFormat="1" applyFont="1" applyFill="1" applyBorder="1" applyAlignment="1">
      <alignment horizontal="right"/>
    </xf>
    <xf numFmtId="0" fontId="3" fillId="0" borderId="9" xfId="0" applyFont="1" applyBorder="1"/>
    <xf numFmtId="164" fontId="3" fillId="0" borderId="0" xfId="0" quotePrefix="1" applyNumberFormat="1" applyFont="1" applyAlignment="1">
      <alignment horizontal="right"/>
    </xf>
    <xf numFmtId="164" fontId="4" fillId="0" borderId="0" xfId="0" applyNumberFormat="1" applyFont="1" applyAlignment="1">
      <alignment horizontal="right"/>
    </xf>
    <xf numFmtId="164" fontId="3" fillId="0" borderId="0" xfId="0" applyNumberFormat="1" applyFont="1"/>
    <xf numFmtId="164" fontId="4" fillId="4" borderId="9" xfId="0" applyNumberFormat="1" applyFont="1" applyFill="1" applyBorder="1" applyAlignment="1">
      <alignment horizontal="right"/>
    </xf>
    <xf numFmtId="164" fontId="3" fillId="2" borderId="9" xfId="0" applyNumberFormat="1" applyFont="1" applyFill="1" applyBorder="1" applyAlignment="1">
      <alignment horizontal="right"/>
    </xf>
    <xf numFmtId="164" fontId="4" fillId="2" borderId="0" xfId="0" applyNumberFormat="1" applyFont="1" applyFill="1" applyAlignment="1">
      <alignment horizontal="right"/>
    </xf>
    <xf numFmtId="164" fontId="2" fillId="0" borderId="0" xfId="0" applyNumberFormat="1" applyFont="1" applyAlignment="1">
      <alignment horizontal="right"/>
    </xf>
    <xf numFmtId="0" fontId="5" fillId="0" borderId="0" xfId="0" applyFont="1" applyAlignment="1">
      <alignment horizontal="left"/>
    </xf>
    <xf numFmtId="0" fontId="2" fillId="0" borderId="0" xfId="0" applyNumberFormat="1" applyFont="1" applyFill="1" applyAlignment="1"/>
    <xf numFmtId="0" fontId="3" fillId="0" borderId="0" xfId="0" applyNumberFormat="1" applyFont="1" applyFill="1" applyAlignment="1"/>
    <xf numFmtId="164" fontId="3" fillId="0" borderId="0" xfId="0" applyNumberFormat="1" applyFont="1" applyFill="1" applyAlignment="1"/>
    <xf numFmtId="0" fontId="0" fillId="0" borderId="0" xfId="0" applyNumberFormat="1" applyFont="1" applyFill="1" applyAlignment="1"/>
    <xf numFmtId="0" fontId="6" fillId="0" borderId="1" xfId="0" applyFont="1" applyBorder="1" applyAlignment="1">
      <alignment horizontal="left"/>
    </xf>
    <xf numFmtId="1" fontId="6" fillId="2" borderId="2" xfId="0" applyNumberFormat="1" applyFont="1" applyFill="1" applyBorder="1" applyAlignment="1">
      <alignment horizontal="right"/>
    </xf>
    <xf numFmtId="0" fontId="6" fillId="0" borderId="3" xfId="0" applyFont="1" applyBorder="1" applyAlignment="1">
      <alignment horizontal="left"/>
    </xf>
    <xf numFmtId="1" fontId="6" fillId="0" borderId="4" xfId="0" applyNumberFormat="1" applyFont="1" applyBorder="1" applyAlignment="1">
      <alignment horizontal="right"/>
    </xf>
    <xf numFmtId="0" fontId="6" fillId="0" borderId="5" xfId="0" applyFont="1" applyBorder="1" applyAlignment="1">
      <alignment horizontal="left"/>
    </xf>
    <xf numFmtId="1" fontId="6" fillId="0" borderId="6" xfId="0" applyNumberFormat="1" applyFont="1" applyBorder="1" applyAlignment="1">
      <alignment horizontal="right"/>
    </xf>
    <xf numFmtId="0" fontId="6" fillId="0" borderId="0" xfId="0" applyFont="1" applyBorder="1" applyAlignment="1">
      <alignment horizontal="left"/>
    </xf>
    <xf numFmtId="164" fontId="6" fillId="0" borderId="0" xfId="0" applyNumberFormat="1" applyFont="1" applyBorder="1" applyAlignment="1">
      <alignment horizontal="right"/>
    </xf>
    <xf numFmtId="164" fontId="0" fillId="0" borderId="0" xfId="0" applyNumberFormat="1"/>
    <xf numFmtId="164" fontId="6" fillId="0" borderId="0" xfId="0" applyNumberFormat="1" applyFont="1" applyAlignment="1">
      <alignment horizontal="right"/>
    </xf>
    <xf numFmtId="0" fontId="6" fillId="0" borderId="0" xfId="0" applyFont="1" applyAlignment="1">
      <alignment horizontal="right"/>
    </xf>
    <xf numFmtId="0" fontId="0" fillId="0" borderId="9" xfId="0" applyFont="1" applyBorder="1"/>
    <xf numFmtId="0" fontId="6" fillId="0" borderId="0" xfId="0" applyFont="1" applyFill="1" applyBorder="1" applyAlignment="1">
      <alignment horizontal="left"/>
    </xf>
    <xf numFmtId="164" fontId="6" fillId="2" borderId="0" xfId="0" applyNumberFormat="1" applyFont="1" applyFill="1"/>
    <xf numFmtId="0" fontId="6" fillId="0" borderId="7" xfId="0" applyFont="1" applyFill="1" applyBorder="1"/>
    <xf numFmtId="0" fontId="6" fillId="0" borderId="8" xfId="0" applyFont="1" applyBorder="1"/>
    <xf numFmtId="0" fontId="2" fillId="5" borderId="0" xfId="0" applyFont="1" applyFill="1" applyAlignment="1">
      <alignment horizontal="left"/>
    </xf>
    <xf numFmtId="164" fontId="1" fillId="5" borderId="0" xfId="0" applyNumberFormat="1" applyFont="1" applyFill="1" applyAlignment="1">
      <alignment horizontal="right"/>
    </xf>
    <xf numFmtId="164" fontId="2" fillId="5" borderId="0" xfId="0" applyNumberFormat="1" applyFont="1" applyFill="1" applyAlignment="1">
      <alignment horizontal="left"/>
    </xf>
    <xf numFmtId="164" fontId="3" fillId="5" borderId="0" xfId="0" applyNumberFormat="1" applyFont="1" applyFill="1" applyAlignment="1">
      <alignment horizontal="left"/>
    </xf>
    <xf numFmtId="0" fontId="3" fillId="5" borderId="0" xfId="0" applyFont="1" applyFill="1"/>
    <xf numFmtId="1" fontId="3" fillId="0" borderId="0" xfId="0" applyNumberFormat="1" applyFont="1"/>
    <xf numFmtId="0" fontId="7" fillId="0" borderId="0" xfId="0" applyFont="1"/>
    <xf numFmtId="0" fontId="6" fillId="0" borderId="0" xfId="0" applyNumberFormat="1" applyFont="1" applyFill="1" applyAlignment="1"/>
    <xf numFmtId="0" fontId="8" fillId="0" borderId="0" xfId="0" applyFont="1"/>
    <xf numFmtId="164" fontId="0" fillId="0" borderId="0" xfId="0" applyNumberFormat="1" applyAlignment="1">
      <alignment horizontal="right"/>
    </xf>
    <xf numFmtId="0" fontId="0" fillId="0" borderId="0" xfId="0" applyAlignment="1">
      <alignment horizontal="right"/>
    </xf>
    <xf numFmtId="0" fontId="7" fillId="0" borderId="9" xfId="0" applyFont="1" applyBorder="1" applyAlignment="1">
      <alignment wrapText="1"/>
    </xf>
    <xf numFmtId="164" fontId="7" fillId="0" borderId="9" xfId="0" applyNumberFormat="1" applyFont="1" applyBorder="1" applyAlignment="1">
      <alignment horizontal="right" wrapText="1"/>
    </xf>
    <xf numFmtId="0" fontId="7" fillId="0" borderId="9" xfId="0" applyFont="1" applyBorder="1" applyAlignment="1">
      <alignment horizontal="right" wrapText="1"/>
    </xf>
    <xf numFmtId="2" fontId="0" fillId="0" borderId="0" xfId="0" applyNumberFormat="1" applyAlignment="1">
      <alignment horizontal="right"/>
    </xf>
    <xf numFmtId="164" fontId="9" fillId="0" borderId="9" xfId="0" applyNumberFormat="1" applyFont="1" applyBorder="1" applyAlignment="1">
      <alignment horizontal="right" wrapText="1"/>
    </xf>
    <xf numFmtId="2" fontId="9" fillId="0" borderId="9" xfId="0" applyNumberFormat="1" applyFont="1" applyBorder="1" applyAlignment="1">
      <alignment horizontal="right" wrapText="1"/>
    </xf>
    <xf numFmtId="164" fontId="10" fillId="0" borderId="0" xfId="0" applyNumberFormat="1" applyFont="1" applyAlignment="1">
      <alignment horizontal="right"/>
    </xf>
    <xf numFmtId="2" fontId="10" fillId="0" borderId="0" xfId="0" applyNumberFormat="1" applyFont="1" applyAlignment="1">
      <alignment horizontal="right"/>
    </xf>
    <xf numFmtId="1" fontId="0" fillId="0" borderId="0" xfId="0" applyNumberFormat="1" applyAlignment="1">
      <alignment horizontal="right"/>
    </xf>
    <xf numFmtId="0" fontId="9" fillId="0" borderId="9" xfId="0" applyFont="1" applyBorder="1" applyAlignment="1">
      <alignment horizontal="right" wrapText="1"/>
    </xf>
    <xf numFmtId="1" fontId="9" fillId="0" borderId="9" xfId="0" applyNumberFormat="1" applyFont="1" applyBorder="1" applyAlignment="1">
      <alignment horizontal="right" wrapText="1"/>
    </xf>
    <xf numFmtId="1" fontId="10" fillId="0" borderId="0" xfId="0" applyNumberFormat="1" applyFont="1" applyAlignment="1">
      <alignment horizontal="right"/>
    </xf>
    <xf numFmtId="0" fontId="10" fillId="0" borderId="0" xfId="0" applyFont="1" applyAlignment="1">
      <alignment horizontal="right"/>
    </xf>
    <xf numFmtId="0" fontId="7" fillId="0" borderId="9" xfId="0" applyFont="1" applyBorder="1"/>
    <xf numFmtId="0" fontId="0" fillId="0" borderId="0" xfId="0" applyFont="1" applyFill="1" applyBorder="1"/>
    <xf numFmtId="0" fontId="12" fillId="0" borderId="0" xfId="0" applyFont="1"/>
    <xf numFmtId="0" fontId="11" fillId="0" borderId="0" xfId="0" applyFont="1"/>
    <xf numFmtId="0" fontId="12" fillId="0" borderId="0" xfId="0" applyNumberFormat="1" applyFont="1" applyFill="1" applyAlignment="1"/>
    <xf numFmtId="0" fontId="0" fillId="0" borderId="9" xfId="0" applyBorder="1"/>
    <xf numFmtId="0" fontId="13" fillId="0" borderId="9" xfId="0" applyFont="1" applyBorder="1" applyAlignment="1">
      <alignment horizontal="right" wrapText="1"/>
    </xf>
    <xf numFmtId="1" fontId="13" fillId="0" borderId="9" xfId="0" applyNumberFormat="1" applyFont="1" applyBorder="1" applyAlignment="1">
      <alignment horizontal="right" wrapText="1"/>
    </xf>
    <xf numFmtId="2" fontId="13" fillId="0" borderId="9" xfId="0" applyNumberFormat="1" applyFont="1" applyBorder="1" applyAlignment="1">
      <alignment horizontal="right" wrapText="1"/>
    </xf>
    <xf numFmtId="1" fontId="14" fillId="0" borderId="0" xfId="0" applyNumberFormat="1" applyFont="1" applyAlignment="1">
      <alignment horizontal="right"/>
    </xf>
    <xf numFmtId="2" fontId="14" fillId="0" borderId="0" xfId="0" applyNumberFormat="1" applyFont="1" applyAlignment="1">
      <alignment horizontal="right"/>
    </xf>
    <xf numFmtId="9" fontId="0" fillId="0" borderId="0" xfId="1" applyFont="1"/>
    <xf numFmtId="0" fontId="0" fillId="0" borderId="0" xfId="0" applyFont="1"/>
    <xf numFmtId="165" fontId="0" fillId="0" borderId="0" xfId="1" applyNumberFormat="1" applyFont="1"/>
    <xf numFmtId="1" fontId="0" fillId="0" borderId="0" xfId="0" applyNumberFormat="1"/>
    <xf numFmtId="2" fontId="0" fillId="0" borderId="0" xfId="0" applyNumberFormat="1"/>
    <xf numFmtId="0" fontId="16" fillId="0" borderId="0" xfId="0" applyFont="1"/>
    <xf numFmtId="164" fontId="12" fillId="0" borderId="0" xfId="0" applyNumberFormat="1" applyFont="1" applyAlignment="1">
      <alignment horizontal="right"/>
    </xf>
    <xf numFmtId="0" fontId="12" fillId="0" borderId="0" xfId="0" applyFont="1" applyAlignment="1">
      <alignment horizontal="right"/>
    </xf>
    <xf numFmtId="1" fontId="12" fillId="0" borderId="0" xfId="0" applyNumberFormat="1" applyFont="1" applyAlignment="1">
      <alignment horizontal="right"/>
    </xf>
    <xf numFmtId="2" fontId="12" fillId="0" borderId="0" xfId="0" applyNumberFormat="1" applyFont="1" applyAlignment="1">
      <alignment horizontal="right"/>
    </xf>
    <xf numFmtId="0" fontId="16" fillId="0" borderId="9" xfId="0" applyFont="1" applyBorder="1" applyAlignment="1">
      <alignment wrapText="1"/>
    </xf>
    <xf numFmtId="0" fontId="16" fillId="0" borderId="9" xfId="0" applyFont="1" applyBorder="1" applyAlignment="1">
      <alignment horizontal="right" wrapText="1"/>
    </xf>
    <xf numFmtId="1" fontId="16" fillId="0" borderId="9" xfId="0" applyNumberFormat="1" applyFont="1" applyBorder="1" applyAlignment="1">
      <alignment horizontal="right" wrapText="1"/>
    </xf>
    <xf numFmtId="164" fontId="16" fillId="0" borderId="9" xfId="0" applyNumberFormat="1" applyFont="1" applyBorder="1" applyAlignment="1">
      <alignment horizontal="right" wrapText="1"/>
    </xf>
    <xf numFmtId="2" fontId="16" fillId="0" borderId="9" xfId="0" applyNumberFormat="1" applyFont="1" applyBorder="1" applyAlignment="1">
      <alignment horizontal="right" wrapText="1"/>
    </xf>
    <xf numFmtId="9" fontId="12" fillId="0" borderId="0" xfId="1" applyFont="1"/>
    <xf numFmtId="0" fontId="13" fillId="0" borderId="0" xfId="0" applyFont="1"/>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xf numFmtId="0" fontId="13" fillId="0" borderId="9" xfId="0" applyFont="1" applyBorder="1" applyAlignment="1">
      <alignment wrapText="1"/>
    </xf>
    <xf numFmtId="164" fontId="13" fillId="0" borderId="9" xfId="0" applyNumberFormat="1" applyFont="1" applyBorder="1" applyAlignment="1">
      <alignment horizontal="right" wrapText="1"/>
    </xf>
    <xf numFmtId="9" fontId="14" fillId="0" borderId="0" xfId="1" applyFont="1"/>
    <xf numFmtId="9" fontId="14" fillId="0" borderId="0" xfId="0" applyNumberFormat="1" applyFont="1"/>
    <xf numFmtId="2" fontId="17" fillId="0" borderId="9" xfId="0" applyNumberFormat="1" applyFont="1" applyBorder="1" applyAlignment="1">
      <alignment horizontal="right" wrapText="1"/>
    </xf>
    <xf numFmtId="1" fontId="18" fillId="0" borderId="0" xfId="0" applyNumberFormat="1" applyFont="1" applyAlignment="1">
      <alignment horizontal="right"/>
    </xf>
    <xf numFmtId="9" fontId="18" fillId="0" borderId="0" xfId="1" applyFont="1"/>
    <xf numFmtId="9" fontId="0" fillId="0" borderId="0" xfId="1" applyNumberFormat="1" applyFont="1"/>
    <xf numFmtId="0" fontId="7" fillId="0" borderId="13" xfId="0" applyFont="1" applyBorder="1" applyAlignment="1">
      <alignment horizontal="right" wrapText="1"/>
    </xf>
    <xf numFmtId="0" fontId="7" fillId="0" borderId="14" xfId="0" applyFont="1" applyBorder="1" applyAlignment="1">
      <alignment horizontal="right" wrapText="1"/>
    </xf>
    <xf numFmtId="164" fontId="7" fillId="0" borderId="14" xfId="0" applyNumberFormat="1" applyFont="1" applyBorder="1" applyAlignment="1">
      <alignment horizontal="right" wrapText="1"/>
    </xf>
    <xf numFmtId="1" fontId="7" fillId="0" borderId="14" xfId="0" applyNumberFormat="1" applyFont="1" applyBorder="1" applyAlignment="1">
      <alignment horizontal="right" wrapText="1"/>
    </xf>
    <xf numFmtId="1" fontId="7" fillId="0" borderId="15" xfId="0" applyNumberFormat="1" applyFont="1" applyBorder="1" applyAlignment="1">
      <alignment horizontal="right" wrapText="1"/>
    </xf>
    <xf numFmtId="164" fontId="14" fillId="0" borderId="0" xfId="0" applyNumberFormat="1" applyFont="1"/>
    <xf numFmtId="1" fontId="14" fillId="0" borderId="0" xfId="0" applyNumberFormat="1" applyFont="1"/>
    <xf numFmtId="0" fontId="17" fillId="0" borderId="9" xfId="0" applyFont="1" applyBorder="1"/>
    <xf numFmtId="0" fontId="18" fillId="0" borderId="0" xfId="0" applyFont="1"/>
    <xf numFmtId="8" fontId="0" fillId="0" borderId="0" xfId="0" applyNumberFormat="1"/>
    <xf numFmtId="0" fontId="13" fillId="0" borderId="0" xfId="0" applyFont="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9" fontId="0" fillId="0" borderId="0" xfId="0" applyNumberFormat="1"/>
  </cellXfs>
  <cellStyles count="2">
    <cellStyle name="Normal" xfId="0" builtinId="0"/>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0530183727035"/>
          <c:y val="4.4881640979711659E-2"/>
          <c:w val="0.79615692038495189"/>
          <c:h val="0.75760371185829256"/>
        </c:manualLayout>
      </c:layout>
      <c:scatterChart>
        <c:scatterStyle val="lineMarker"/>
        <c:varyColors val="0"/>
        <c:ser>
          <c:idx val="0"/>
          <c:order val="0"/>
          <c:tx>
            <c:strRef>
              <c:f>'Multi-Door Test-Nulled'!$A$3:$F$3</c:f>
              <c:strCache>
                <c:ptCount val="1"/>
                <c:pt idx="0">
                  <c:v>Unit 6700-Guarded</c:v>
                </c:pt>
              </c:strCache>
            </c:strRef>
          </c:tx>
          <c:spPr>
            <a:ln w="28575">
              <a:noFill/>
            </a:ln>
          </c:spPr>
          <c:trendline>
            <c:spPr>
              <a:ln w="25400">
                <a:solidFill>
                  <a:schemeClr val="tx2">
                    <a:lumMod val="60000"/>
                    <a:lumOff val="40000"/>
                  </a:schemeClr>
                </a:solidFill>
                <a:prstDash val="sysDash"/>
              </a:ln>
            </c:spPr>
            <c:trendlineType val="power"/>
            <c:forward val="10"/>
            <c:backward val="10"/>
            <c:dispRSqr val="1"/>
            <c:dispEq val="1"/>
            <c:trendlineLbl>
              <c:layout>
                <c:manualLayout>
                  <c:x val="-0.24852355364888684"/>
                  <c:y val="7.9809897579837218E-3"/>
                </c:manualLayout>
              </c:layout>
              <c:numFmt formatCode="General" sourceLinked="0"/>
            </c:trendlineLbl>
          </c:trendline>
          <c:xVal>
            <c:numRef>
              <c:f>'Multi-Door Test-Nulled'!$D$5:$D$9</c:f>
              <c:numCache>
                <c:formatCode>0.0</c:formatCode>
                <c:ptCount val="5"/>
                <c:pt idx="0">
                  <c:v>52.769999999999996</c:v>
                </c:pt>
                <c:pt idx="1">
                  <c:v>43.66</c:v>
                </c:pt>
                <c:pt idx="2">
                  <c:v>44.519999999999996</c:v>
                </c:pt>
                <c:pt idx="3">
                  <c:v>33.44</c:v>
                </c:pt>
                <c:pt idx="4">
                  <c:v>27.61</c:v>
                </c:pt>
              </c:numCache>
            </c:numRef>
          </c:xVal>
          <c:yVal>
            <c:numRef>
              <c:f>'Multi-Door Test-Nulled'!$E$5:$E$9</c:f>
              <c:numCache>
                <c:formatCode>0</c:formatCode>
                <c:ptCount val="5"/>
                <c:pt idx="0">
                  <c:v>975.7</c:v>
                </c:pt>
                <c:pt idx="1">
                  <c:v>864.4</c:v>
                </c:pt>
                <c:pt idx="2">
                  <c:v>869.6</c:v>
                </c:pt>
                <c:pt idx="3">
                  <c:v>705.6</c:v>
                </c:pt>
                <c:pt idx="4">
                  <c:v>573.1</c:v>
                </c:pt>
              </c:numCache>
            </c:numRef>
          </c:yVal>
          <c:smooth val="0"/>
        </c:ser>
        <c:dLbls>
          <c:showLegendKey val="0"/>
          <c:showVal val="0"/>
          <c:showCatName val="0"/>
          <c:showSerName val="0"/>
          <c:showPercent val="0"/>
          <c:showBubbleSize val="0"/>
        </c:dLbls>
        <c:axId val="116304128"/>
        <c:axId val="125546880"/>
      </c:scatterChart>
      <c:valAx>
        <c:axId val="116304128"/>
        <c:scaling>
          <c:orientation val="minMax"/>
        </c:scaling>
        <c:delete val="0"/>
        <c:axPos val="b"/>
        <c:title>
          <c:tx>
            <c:rich>
              <a:bodyPr/>
              <a:lstStyle/>
              <a:p>
                <a:pPr>
                  <a:defRPr/>
                </a:pPr>
                <a:r>
                  <a:rPr lang="en-US"/>
                  <a:t>Pressure</a:t>
                </a:r>
                <a:r>
                  <a:rPr lang="en-US" baseline="0"/>
                  <a:t> (Pa)</a:t>
                </a:r>
              </a:p>
            </c:rich>
          </c:tx>
          <c:layout/>
          <c:overlay val="0"/>
        </c:title>
        <c:numFmt formatCode="0" sourceLinked="0"/>
        <c:majorTickMark val="out"/>
        <c:minorTickMark val="none"/>
        <c:tickLblPos val="nextTo"/>
        <c:crossAx val="125546880"/>
        <c:crosses val="autoZero"/>
        <c:crossBetween val="midCat"/>
      </c:valAx>
      <c:valAx>
        <c:axId val="125546880"/>
        <c:scaling>
          <c:orientation val="minMax"/>
          <c:max val="1400"/>
          <c:min val="0"/>
        </c:scaling>
        <c:delete val="0"/>
        <c:axPos val="l"/>
        <c:majorGridlines/>
        <c:title>
          <c:tx>
            <c:rich>
              <a:bodyPr rot="-5400000" vert="horz"/>
              <a:lstStyle/>
              <a:p>
                <a:pPr>
                  <a:defRPr/>
                </a:pPr>
                <a:r>
                  <a:rPr lang="en-US"/>
                  <a:t>Airflow (CFM)</a:t>
                </a:r>
              </a:p>
            </c:rich>
          </c:tx>
          <c:layout/>
          <c:overlay val="0"/>
        </c:title>
        <c:numFmt formatCode="0" sourceLinked="1"/>
        <c:majorTickMark val="out"/>
        <c:minorTickMark val="none"/>
        <c:tickLblPos val="nextTo"/>
        <c:crossAx val="116304128"/>
        <c:crosses val="autoZero"/>
        <c:crossBetween val="midCat"/>
      </c:valAx>
    </c:plotArea>
    <c:legend>
      <c:legendPos val="l"/>
      <c:layout>
        <c:manualLayout>
          <c:xMode val="edge"/>
          <c:yMode val="edge"/>
          <c:x val="0.16388899387576553"/>
          <c:y val="0.62996355313405727"/>
          <c:w val="0.48012113870381584"/>
          <c:h val="0.14390814892214301"/>
        </c:manualLayout>
      </c:layout>
      <c:overlay val="1"/>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0530183727035"/>
          <c:y val="4.4881640979711659E-2"/>
          <c:w val="0.79615692038495189"/>
          <c:h val="0.75760371185829256"/>
        </c:manualLayout>
      </c:layout>
      <c:scatterChart>
        <c:scatterStyle val="lineMarker"/>
        <c:varyColors val="0"/>
        <c:ser>
          <c:idx val="0"/>
          <c:order val="0"/>
          <c:tx>
            <c:strRef>
              <c:f>'Multi-Door Test-Nulled'!$Y$3:$AD$3</c:f>
              <c:strCache>
                <c:ptCount val="1"/>
                <c:pt idx="0">
                  <c:v>Unit 6708-Guarded</c:v>
                </c:pt>
              </c:strCache>
            </c:strRef>
          </c:tx>
          <c:spPr>
            <a:ln w="28575">
              <a:noFill/>
            </a:ln>
          </c:spPr>
          <c:trendline>
            <c:spPr>
              <a:ln w="25400">
                <a:solidFill>
                  <a:schemeClr val="tx2">
                    <a:lumMod val="60000"/>
                    <a:lumOff val="40000"/>
                  </a:schemeClr>
                </a:solidFill>
                <a:prstDash val="sysDash"/>
              </a:ln>
            </c:spPr>
            <c:trendlineType val="power"/>
            <c:forward val="10"/>
            <c:backward val="10"/>
            <c:dispRSqr val="1"/>
            <c:dispEq val="1"/>
            <c:trendlineLbl>
              <c:layout>
                <c:manualLayout>
                  <c:x val="-0.3335231496062992"/>
                  <c:y val="0.16831137813934396"/>
                </c:manualLayout>
              </c:layout>
              <c:numFmt formatCode="General" sourceLinked="0"/>
              <c:txPr>
                <a:bodyPr/>
                <a:lstStyle/>
                <a:p>
                  <a:pPr>
                    <a:defRPr b="1">
                      <a:solidFill>
                        <a:schemeClr val="tx2">
                          <a:lumMod val="60000"/>
                          <a:lumOff val="40000"/>
                        </a:schemeClr>
                      </a:solidFill>
                    </a:defRPr>
                  </a:pPr>
                  <a:endParaRPr lang="en-US"/>
                </a:p>
              </c:txPr>
            </c:trendlineLbl>
          </c:trendline>
          <c:xVal>
            <c:numRef>
              <c:f>'Multi-Door Test-Nulled'!$AB$5:$AB$9</c:f>
              <c:numCache>
                <c:formatCode>0.0</c:formatCode>
                <c:ptCount val="5"/>
                <c:pt idx="0">
                  <c:v>55.730000000000004</c:v>
                </c:pt>
                <c:pt idx="1">
                  <c:v>46.910000000000004</c:v>
                </c:pt>
                <c:pt idx="2">
                  <c:v>46.42</c:v>
                </c:pt>
                <c:pt idx="3">
                  <c:v>36.630000000000003</c:v>
                </c:pt>
                <c:pt idx="4">
                  <c:v>26.81</c:v>
                </c:pt>
              </c:numCache>
            </c:numRef>
          </c:xVal>
          <c:yVal>
            <c:numRef>
              <c:f>'Multi-Door Test-Nulled'!$AC$5:$AC$9</c:f>
              <c:numCache>
                <c:formatCode>0</c:formatCode>
                <c:ptCount val="5"/>
                <c:pt idx="0">
                  <c:v>1066.8</c:v>
                </c:pt>
                <c:pt idx="1">
                  <c:v>949.1</c:v>
                </c:pt>
                <c:pt idx="2">
                  <c:v>918.7</c:v>
                </c:pt>
                <c:pt idx="3">
                  <c:v>811</c:v>
                </c:pt>
                <c:pt idx="4">
                  <c:v>615.79999999999995</c:v>
                </c:pt>
              </c:numCache>
            </c:numRef>
          </c:yVal>
          <c:smooth val="0"/>
        </c:ser>
        <c:ser>
          <c:idx val="1"/>
          <c:order val="1"/>
          <c:tx>
            <c:strRef>
              <c:f>'Multi-Door Test-Not Nulled'!$C$58</c:f>
              <c:strCache>
                <c:ptCount val="1"/>
                <c:pt idx="0">
                  <c:v>Unit 6708-Unguarded</c:v>
                </c:pt>
              </c:strCache>
            </c:strRef>
          </c:tx>
          <c:spPr>
            <a:ln w="25400">
              <a:solidFill>
                <a:schemeClr val="accent2"/>
              </a:solidFill>
              <a:prstDash val="sysDash"/>
            </a:ln>
          </c:spPr>
          <c:xVal>
            <c:numRef>
              <c:f>'Multi-Door Test-Not Nulled'!$B$63:$B$64</c:f>
              <c:numCache>
                <c:formatCode>0.0</c:formatCode>
                <c:ptCount val="2"/>
                <c:pt idx="0">
                  <c:v>51.84</c:v>
                </c:pt>
                <c:pt idx="1">
                  <c:v>41.39</c:v>
                </c:pt>
              </c:numCache>
            </c:numRef>
          </c:xVal>
          <c:yVal>
            <c:numRef>
              <c:f>'Multi-Door Test-Not Nulled'!$C$63:$C$64</c:f>
              <c:numCache>
                <c:formatCode>0</c:formatCode>
                <c:ptCount val="2"/>
                <c:pt idx="0">
                  <c:v>1141.8</c:v>
                </c:pt>
                <c:pt idx="1">
                  <c:v>976.6</c:v>
                </c:pt>
              </c:numCache>
            </c:numRef>
          </c:yVal>
          <c:smooth val="0"/>
        </c:ser>
        <c:dLbls>
          <c:showLegendKey val="0"/>
          <c:showVal val="0"/>
          <c:showCatName val="0"/>
          <c:showSerName val="0"/>
          <c:showPercent val="0"/>
          <c:showBubbleSize val="0"/>
        </c:dLbls>
        <c:axId val="108043264"/>
        <c:axId val="108045440"/>
      </c:scatterChart>
      <c:valAx>
        <c:axId val="108043264"/>
        <c:scaling>
          <c:orientation val="minMax"/>
        </c:scaling>
        <c:delete val="0"/>
        <c:axPos val="b"/>
        <c:title>
          <c:tx>
            <c:rich>
              <a:bodyPr/>
              <a:lstStyle/>
              <a:p>
                <a:pPr>
                  <a:defRPr/>
                </a:pPr>
                <a:r>
                  <a:rPr lang="en-US"/>
                  <a:t>Pressure</a:t>
                </a:r>
                <a:r>
                  <a:rPr lang="en-US" baseline="0"/>
                  <a:t> (Pa)</a:t>
                </a:r>
              </a:p>
            </c:rich>
          </c:tx>
          <c:layout/>
          <c:overlay val="0"/>
        </c:title>
        <c:numFmt formatCode="0" sourceLinked="0"/>
        <c:majorTickMark val="out"/>
        <c:minorTickMark val="none"/>
        <c:tickLblPos val="nextTo"/>
        <c:crossAx val="108045440"/>
        <c:crosses val="autoZero"/>
        <c:crossBetween val="midCat"/>
      </c:valAx>
      <c:valAx>
        <c:axId val="108045440"/>
        <c:scaling>
          <c:orientation val="minMax"/>
          <c:max val="1600"/>
          <c:min val="0"/>
        </c:scaling>
        <c:delete val="0"/>
        <c:axPos val="l"/>
        <c:majorGridlines/>
        <c:title>
          <c:tx>
            <c:rich>
              <a:bodyPr rot="-5400000" vert="horz"/>
              <a:lstStyle/>
              <a:p>
                <a:pPr>
                  <a:defRPr/>
                </a:pPr>
                <a:r>
                  <a:rPr lang="en-US"/>
                  <a:t>Airflow (CFM)</a:t>
                </a:r>
              </a:p>
            </c:rich>
          </c:tx>
          <c:layout/>
          <c:overlay val="0"/>
        </c:title>
        <c:numFmt formatCode="0" sourceLinked="1"/>
        <c:majorTickMark val="out"/>
        <c:minorTickMark val="none"/>
        <c:tickLblPos val="nextTo"/>
        <c:crossAx val="108043264"/>
        <c:crosses val="autoZero"/>
        <c:crossBetween val="midCat"/>
      </c:valAx>
    </c:plotArea>
    <c:legend>
      <c:legendPos val="l"/>
      <c:layout>
        <c:manualLayout>
          <c:xMode val="edge"/>
          <c:yMode val="edge"/>
          <c:x val="0.38788899387576553"/>
          <c:y val="0.59204886119092937"/>
          <c:w val="0.5654545581802275"/>
          <c:h val="0.20709930216068964"/>
        </c:manualLayout>
      </c:layout>
      <c:overlay val="1"/>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0530183727035"/>
          <c:y val="4.4881640979711659E-2"/>
          <c:w val="0.79615692038495189"/>
          <c:h val="0.75760371185829256"/>
        </c:manualLayout>
      </c:layout>
      <c:scatterChart>
        <c:scatterStyle val="lineMarker"/>
        <c:varyColors val="0"/>
        <c:ser>
          <c:idx val="0"/>
          <c:order val="0"/>
          <c:tx>
            <c:strRef>
              <c:f>'Multi-Door Test-Not Nulled'!$A$6</c:f>
              <c:strCache>
                <c:ptCount val="1"/>
                <c:pt idx="0">
                  <c:v>Unit 6700-End, Jefferson</c:v>
                </c:pt>
              </c:strCache>
            </c:strRef>
          </c:tx>
          <c:spPr>
            <a:ln w="28575">
              <a:noFill/>
            </a:ln>
          </c:spPr>
          <c:trendline>
            <c:spPr>
              <a:ln w="25400">
                <a:solidFill>
                  <a:schemeClr val="tx2">
                    <a:lumMod val="60000"/>
                    <a:lumOff val="40000"/>
                  </a:schemeClr>
                </a:solidFill>
                <a:prstDash val="sysDash"/>
              </a:ln>
            </c:spPr>
            <c:trendlineType val="power"/>
            <c:forward val="10"/>
            <c:backward val="10"/>
            <c:dispRSqr val="1"/>
            <c:dispEq val="1"/>
            <c:trendlineLbl>
              <c:layout>
                <c:manualLayout>
                  <c:x val="-0.24852355364888684"/>
                  <c:y val="7.9809897579837218E-3"/>
                </c:manualLayout>
              </c:layout>
              <c:numFmt formatCode="General" sourceLinked="0"/>
            </c:trendlineLbl>
          </c:trendline>
          <c:xVal>
            <c:numRef>
              <c:f>'Multi-Door Test-Not Nulled'!$B$11:$B$12</c:f>
              <c:numCache>
                <c:formatCode>0.0</c:formatCode>
                <c:ptCount val="2"/>
                <c:pt idx="0">
                  <c:v>49.040000000000006</c:v>
                </c:pt>
                <c:pt idx="1">
                  <c:v>40.800000000000004</c:v>
                </c:pt>
              </c:numCache>
            </c:numRef>
          </c:xVal>
          <c:yVal>
            <c:numRef>
              <c:f>'Multi-Door Test-Not Nulled'!$C$11:$C$12</c:f>
              <c:numCache>
                <c:formatCode>0</c:formatCode>
                <c:ptCount val="2"/>
                <c:pt idx="0">
                  <c:v>1071.3</c:v>
                </c:pt>
                <c:pt idx="1">
                  <c:v>949.8</c:v>
                </c:pt>
              </c:numCache>
            </c:numRef>
          </c:yVal>
          <c:smooth val="0"/>
        </c:ser>
        <c:dLbls>
          <c:showLegendKey val="0"/>
          <c:showVal val="0"/>
          <c:showCatName val="0"/>
          <c:showSerName val="0"/>
          <c:showPercent val="0"/>
          <c:showBubbleSize val="0"/>
        </c:dLbls>
        <c:axId val="108079360"/>
        <c:axId val="108081536"/>
      </c:scatterChart>
      <c:valAx>
        <c:axId val="108079360"/>
        <c:scaling>
          <c:orientation val="minMax"/>
        </c:scaling>
        <c:delete val="0"/>
        <c:axPos val="b"/>
        <c:title>
          <c:tx>
            <c:rich>
              <a:bodyPr/>
              <a:lstStyle/>
              <a:p>
                <a:pPr>
                  <a:defRPr/>
                </a:pPr>
                <a:r>
                  <a:rPr lang="en-US"/>
                  <a:t>Pressure</a:t>
                </a:r>
                <a:r>
                  <a:rPr lang="en-US" baseline="0"/>
                  <a:t> (Pa)</a:t>
                </a:r>
              </a:p>
            </c:rich>
          </c:tx>
          <c:layout/>
          <c:overlay val="0"/>
        </c:title>
        <c:numFmt formatCode="0" sourceLinked="0"/>
        <c:majorTickMark val="out"/>
        <c:minorTickMark val="none"/>
        <c:tickLblPos val="nextTo"/>
        <c:crossAx val="108081536"/>
        <c:crosses val="autoZero"/>
        <c:crossBetween val="midCat"/>
      </c:valAx>
      <c:valAx>
        <c:axId val="108081536"/>
        <c:scaling>
          <c:orientation val="minMax"/>
          <c:max val="1600"/>
          <c:min val="0"/>
        </c:scaling>
        <c:delete val="0"/>
        <c:axPos val="l"/>
        <c:majorGridlines/>
        <c:title>
          <c:tx>
            <c:rich>
              <a:bodyPr rot="-5400000" vert="horz"/>
              <a:lstStyle/>
              <a:p>
                <a:pPr>
                  <a:defRPr/>
                </a:pPr>
                <a:r>
                  <a:rPr lang="en-US"/>
                  <a:t>Airflow (CFM)</a:t>
                </a:r>
              </a:p>
            </c:rich>
          </c:tx>
          <c:layout/>
          <c:overlay val="0"/>
        </c:title>
        <c:numFmt formatCode="0" sourceLinked="1"/>
        <c:majorTickMark val="out"/>
        <c:minorTickMark val="none"/>
        <c:tickLblPos val="nextTo"/>
        <c:crossAx val="108079360"/>
        <c:crosses val="autoZero"/>
        <c:crossBetween val="midCat"/>
      </c:valAx>
    </c:plotArea>
    <c:legend>
      <c:legendPos val="l"/>
      <c:layout>
        <c:manualLayout>
          <c:xMode val="edge"/>
          <c:yMode val="edge"/>
          <c:x val="0.16388899387576553"/>
          <c:y val="0.62996355313405727"/>
          <c:w val="0.48012113870381584"/>
          <c:h val="0.14390814892214301"/>
        </c:manualLayout>
      </c:layout>
      <c:overlay val="1"/>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0530183727035"/>
          <c:y val="4.4881640979711659E-2"/>
          <c:w val="0.79615692038495189"/>
          <c:h val="0.75760371185829256"/>
        </c:manualLayout>
      </c:layout>
      <c:scatterChart>
        <c:scatterStyle val="lineMarker"/>
        <c:varyColors val="0"/>
        <c:ser>
          <c:idx val="0"/>
          <c:order val="0"/>
          <c:tx>
            <c:strRef>
              <c:f>'Multi-Door Test-Not Nulled'!$A$19</c:f>
              <c:strCache>
                <c:ptCount val="1"/>
                <c:pt idx="0">
                  <c:v>Unit 6702-Mid, Adams</c:v>
                </c:pt>
              </c:strCache>
            </c:strRef>
          </c:tx>
          <c:spPr>
            <a:ln w="28575">
              <a:noFill/>
            </a:ln>
          </c:spPr>
          <c:trendline>
            <c:spPr>
              <a:ln w="25400">
                <a:solidFill>
                  <a:schemeClr val="tx2">
                    <a:lumMod val="60000"/>
                    <a:lumOff val="40000"/>
                  </a:schemeClr>
                </a:solidFill>
                <a:prstDash val="sysDash"/>
              </a:ln>
            </c:spPr>
            <c:trendlineType val="power"/>
            <c:forward val="10"/>
            <c:backward val="10"/>
            <c:dispRSqr val="1"/>
            <c:dispEq val="1"/>
            <c:trendlineLbl>
              <c:layout>
                <c:manualLayout>
                  <c:x val="-0.24852355364888684"/>
                  <c:y val="7.9809897579837218E-3"/>
                </c:manualLayout>
              </c:layout>
              <c:numFmt formatCode="General" sourceLinked="0"/>
            </c:trendlineLbl>
          </c:trendline>
          <c:xVal>
            <c:numRef>
              <c:f>'Multi-Door Test-Not Nulled'!$B$24:$B$25</c:f>
              <c:numCache>
                <c:formatCode>0.0</c:formatCode>
                <c:ptCount val="2"/>
                <c:pt idx="0">
                  <c:v>50.150000000000006</c:v>
                </c:pt>
                <c:pt idx="1">
                  <c:v>40</c:v>
                </c:pt>
              </c:numCache>
            </c:numRef>
          </c:xVal>
          <c:yVal>
            <c:numRef>
              <c:f>'Multi-Door Test-Not Nulled'!$C$24:$C$25</c:f>
              <c:numCache>
                <c:formatCode>0</c:formatCode>
                <c:ptCount val="2"/>
                <c:pt idx="0">
                  <c:v>1331.7</c:v>
                </c:pt>
                <c:pt idx="1">
                  <c:v>1136.7</c:v>
                </c:pt>
              </c:numCache>
            </c:numRef>
          </c:yVal>
          <c:smooth val="0"/>
        </c:ser>
        <c:dLbls>
          <c:showLegendKey val="0"/>
          <c:showVal val="0"/>
          <c:showCatName val="0"/>
          <c:showSerName val="0"/>
          <c:showPercent val="0"/>
          <c:showBubbleSize val="0"/>
        </c:dLbls>
        <c:axId val="108102784"/>
        <c:axId val="108104704"/>
      </c:scatterChart>
      <c:valAx>
        <c:axId val="108102784"/>
        <c:scaling>
          <c:orientation val="minMax"/>
        </c:scaling>
        <c:delete val="0"/>
        <c:axPos val="b"/>
        <c:title>
          <c:tx>
            <c:rich>
              <a:bodyPr/>
              <a:lstStyle/>
              <a:p>
                <a:pPr>
                  <a:defRPr/>
                </a:pPr>
                <a:r>
                  <a:rPr lang="en-US"/>
                  <a:t>Pressure</a:t>
                </a:r>
                <a:r>
                  <a:rPr lang="en-US" baseline="0"/>
                  <a:t> (Pa)</a:t>
                </a:r>
              </a:p>
            </c:rich>
          </c:tx>
          <c:layout/>
          <c:overlay val="0"/>
        </c:title>
        <c:numFmt formatCode="0" sourceLinked="0"/>
        <c:majorTickMark val="out"/>
        <c:minorTickMark val="none"/>
        <c:tickLblPos val="nextTo"/>
        <c:crossAx val="108104704"/>
        <c:crosses val="autoZero"/>
        <c:crossBetween val="midCat"/>
      </c:valAx>
      <c:valAx>
        <c:axId val="108104704"/>
        <c:scaling>
          <c:orientation val="minMax"/>
          <c:max val="1600"/>
          <c:min val="0"/>
        </c:scaling>
        <c:delete val="0"/>
        <c:axPos val="l"/>
        <c:majorGridlines/>
        <c:title>
          <c:tx>
            <c:rich>
              <a:bodyPr rot="-5400000" vert="horz"/>
              <a:lstStyle/>
              <a:p>
                <a:pPr>
                  <a:defRPr/>
                </a:pPr>
                <a:r>
                  <a:rPr lang="en-US"/>
                  <a:t>Airflow (CFM)</a:t>
                </a:r>
              </a:p>
            </c:rich>
          </c:tx>
          <c:layout/>
          <c:overlay val="0"/>
        </c:title>
        <c:numFmt formatCode="0" sourceLinked="1"/>
        <c:majorTickMark val="out"/>
        <c:minorTickMark val="none"/>
        <c:tickLblPos val="nextTo"/>
        <c:crossAx val="108102784"/>
        <c:crosses val="autoZero"/>
        <c:crossBetween val="midCat"/>
      </c:valAx>
    </c:plotArea>
    <c:legend>
      <c:legendPos val="l"/>
      <c:layout>
        <c:manualLayout>
          <c:xMode val="edge"/>
          <c:yMode val="edge"/>
          <c:x val="0.16388899387576553"/>
          <c:y val="0.62996355313405727"/>
          <c:w val="0.48012113870381584"/>
          <c:h val="0.14390814892214301"/>
        </c:manualLayout>
      </c:layout>
      <c:overlay val="1"/>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0530183727035"/>
          <c:y val="4.4881640979711659E-2"/>
          <c:w val="0.79615692038495189"/>
          <c:h val="0.75760371185829256"/>
        </c:manualLayout>
      </c:layout>
      <c:scatterChart>
        <c:scatterStyle val="lineMarker"/>
        <c:varyColors val="0"/>
        <c:ser>
          <c:idx val="0"/>
          <c:order val="0"/>
          <c:tx>
            <c:strRef>
              <c:f>'Multi-Door Test-Not Nulled'!$A$32</c:f>
              <c:strCache>
                <c:ptCount val="1"/>
                <c:pt idx="0">
                  <c:v>Unit 6704-Mid, Adams</c:v>
                </c:pt>
              </c:strCache>
            </c:strRef>
          </c:tx>
          <c:spPr>
            <a:ln w="28575">
              <a:noFill/>
            </a:ln>
          </c:spPr>
          <c:trendline>
            <c:spPr>
              <a:ln w="25400">
                <a:solidFill>
                  <a:schemeClr val="tx2">
                    <a:lumMod val="60000"/>
                    <a:lumOff val="40000"/>
                  </a:schemeClr>
                </a:solidFill>
                <a:prstDash val="sysDash"/>
              </a:ln>
            </c:spPr>
            <c:trendlineType val="power"/>
            <c:forward val="10"/>
            <c:backward val="10"/>
            <c:dispRSqr val="1"/>
            <c:dispEq val="1"/>
            <c:trendlineLbl>
              <c:layout>
                <c:manualLayout>
                  <c:x val="-0.24852355364888684"/>
                  <c:y val="7.9809897579837218E-3"/>
                </c:manualLayout>
              </c:layout>
              <c:numFmt formatCode="General" sourceLinked="0"/>
            </c:trendlineLbl>
          </c:trendline>
          <c:xVal>
            <c:numRef>
              <c:f>'Multi-Door Test-Not Nulled'!$B$37:$B$38</c:f>
              <c:numCache>
                <c:formatCode>0.0</c:formatCode>
                <c:ptCount val="2"/>
                <c:pt idx="0">
                  <c:v>49.56</c:v>
                </c:pt>
                <c:pt idx="1">
                  <c:v>40.800000000000004</c:v>
                </c:pt>
              </c:numCache>
            </c:numRef>
          </c:xVal>
          <c:yVal>
            <c:numRef>
              <c:f>'Multi-Door Test-Not Nulled'!$C$37:$C$38</c:f>
              <c:numCache>
                <c:formatCode>0</c:formatCode>
                <c:ptCount val="2"/>
                <c:pt idx="0">
                  <c:v>1247.9000000000001</c:v>
                </c:pt>
                <c:pt idx="1">
                  <c:v>1115</c:v>
                </c:pt>
              </c:numCache>
            </c:numRef>
          </c:yVal>
          <c:smooth val="0"/>
        </c:ser>
        <c:dLbls>
          <c:showLegendKey val="0"/>
          <c:showVal val="0"/>
          <c:showCatName val="0"/>
          <c:showSerName val="0"/>
          <c:showPercent val="0"/>
          <c:showBubbleSize val="0"/>
        </c:dLbls>
        <c:axId val="108335104"/>
        <c:axId val="108337024"/>
      </c:scatterChart>
      <c:valAx>
        <c:axId val="108335104"/>
        <c:scaling>
          <c:orientation val="minMax"/>
        </c:scaling>
        <c:delete val="0"/>
        <c:axPos val="b"/>
        <c:title>
          <c:tx>
            <c:rich>
              <a:bodyPr/>
              <a:lstStyle/>
              <a:p>
                <a:pPr>
                  <a:defRPr/>
                </a:pPr>
                <a:r>
                  <a:rPr lang="en-US"/>
                  <a:t>Pressure</a:t>
                </a:r>
                <a:r>
                  <a:rPr lang="en-US" baseline="0"/>
                  <a:t> (Pa)</a:t>
                </a:r>
              </a:p>
            </c:rich>
          </c:tx>
          <c:layout/>
          <c:overlay val="0"/>
        </c:title>
        <c:numFmt formatCode="0" sourceLinked="0"/>
        <c:majorTickMark val="out"/>
        <c:minorTickMark val="none"/>
        <c:tickLblPos val="nextTo"/>
        <c:crossAx val="108337024"/>
        <c:crosses val="autoZero"/>
        <c:crossBetween val="midCat"/>
      </c:valAx>
      <c:valAx>
        <c:axId val="108337024"/>
        <c:scaling>
          <c:orientation val="minMax"/>
          <c:max val="1600"/>
          <c:min val="0"/>
        </c:scaling>
        <c:delete val="0"/>
        <c:axPos val="l"/>
        <c:majorGridlines/>
        <c:title>
          <c:tx>
            <c:rich>
              <a:bodyPr rot="-5400000" vert="horz"/>
              <a:lstStyle/>
              <a:p>
                <a:pPr>
                  <a:defRPr/>
                </a:pPr>
                <a:r>
                  <a:rPr lang="en-US"/>
                  <a:t>Airflow (CFM)</a:t>
                </a:r>
              </a:p>
            </c:rich>
          </c:tx>
          <c:layout/>
          <c:overlay val="0"/>
        </c:title>
        <c:numFmt formatCode="0" sourceLinked="1"/>
        <c:majorTickMark val="out"/>
        <c:minorTickMark val="none"/>
        <c:tickLblPos val="nextTo"/>
        <c:crossAx val="108335104"/>
        <c:crosses val="autoZero"/>
        <c:crossBetween val="midCat"/>
      </c:valAx>
    </c:plotArea>
    <c:legend>
      <c:legendPos val="l"/>
      <c:layout>
        <c:manualLayout>
          <c:xMode val="edge"/>
          <c:yMode val="edge"/>
          <c:x val="0.16388899387576553"/>
          <c:y val="0.62996355313405727"/>
          <c:w val="0.48012113870381584"/>
          <c:h val="0.14390814892214301"/>
        </c:manualLayout>
      </c:layout>
      <c:overlay val="1"/>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0530183727035"/>
          <c:y val="4.4881640979711659E-2"/>
          <c:w val="0.79615692038495189"/>
          <c:h val="0.75760371185829256"/>
        </c:manualLayout>
      </c:layout>
      <c:scatterChart>
        <c:scatterStyle val="lineMarker"/>
        <c:varyColors val="0"/>
        <c:ser>
          <c:idx val="0"/>
          <c:order val="0"/>
          <c:tx>
            <c:strRef>
              <c:f>'Multi-Door Test-Not Nulled'!$A$45</c:f>
              <c:strCache>
                <c:ptCount val="1"/>
                <c:pt idx="0">
                  <c:v>Unit 6706-Mid, Adams</c:v>
                </c:pt>
              </c:strCache>
            </c:strRef>
          </c:tx>
          <c:spPr>
            <a:ln w="28575">
              <a:noFill/>
            </a:ln>
          </c:spPr>
          <c:trendline>
            <c:spPr>
              <a:ln w="25400">
                <a:solidFill>
                  <a:schemeClr val="tx2">
                    <a:lumMod val="60000"/>
                    <a:lumOff val="40000"/>
                  </a:schemeClr>
                </a:solidFill>
                <a:prstDash val="sysDash"/>
              </a:ln>
            </c:spPr>
            <c:trendlineType val="power"/>
            <c:forward val="10"/>
            <c:backward val="10"/>
            <c:dispRSqr val="1"/>
            <c:dispEq val="1"/>
            <c:trendlineLbl>
              <c:layout>
                <c:manualLayout>
                  <c:x val="-0.24852355364888684"/>
                  <c:y val="7.9809897579837218E-3"/>
                </c:manualLayout>
              </c:layout>
              <c:numFmt formatCode="General" sourceLinked="0"/>
            </c:trendlineLbl>
          </c:trendline>
          <c:xVal>
            <c:numRef>
              <c:f>'Multi-Door Test-Not Nulled'!$B$50:$B$51</c:f>
              <c:numCache>
                <c:formatCode>0.0</c:formatCode>
                <c:ptCount val="2"/>
                <c:pt idx="0">
                  <c:v>53.82</c:v>
                </c:pt>
                <c:pt idx="1">
                  <c:v>44.06</c:v>
                </c:pt>
              </c:numCache>
            </c:numRef>
          </c:xVal>
          <c:yVal>
            <c:numRef>
              <c:f>'Multi-Door Test-Not Nulled'!$C$50:$C$51</c:f>
              <c:numCache>
                <c:formatCode>0</c:formatCode>
                <c:ptCount val="2"/>
                <c:pt idx="0">
                  <c:v>1353.4</c:v>
                </c:pt>
                <c:pt idx="1">
                  <c:v>1181.9000000000001</c:v>
                </c:pt>
              </c:numCache>
            </c:numRef>
          </c:yVal>
          <c:smooth val="0"/>
        </c:ser>
        <c:dLbls>
          <c:showLegendKey val="0"/>
          <c:showVal val="0"/>
          <c:showCatName val="0"/>
          <c:showSerName val="0"/>
          <c:showPercent val="0"/>
          <c:showBubbleSize val="0"/>
        </c:dLbls>
        <c:axId val="108354176"/>
        <c:axId val="108974848"/>
      </c:scatterChart>
      <c:valAx>
        <c:axId val="108354176"/>
        <c:scaling>
          <c:orientation val="minMax"/>
        </c:scaling>
        <c:delete val="0"/>
        <c:axPos val="b"/>
        <c:title>
          <c:tx>
            <c:rich>
              <a:bodyPr/>
              <a:lstStyle/>
              <a:p>
                <a:pPr>
                  <a:defRPr/>
                </a:pPr>
                <a:r>
                  <a:rPr lang="en-US"/>
                  <a:t>Pressure</a:t>
                </a:r>
                <a:r>
                  <a:rPr lang="en-US" baseline="0"/>
                  <a:t> (Pa)</a:t>
                </a:r>
              </a:p>
            </c:rich>
          </c:tx>
          <c:overlay val="0"/>
        </c:title>
        <c:numFmt formatCode="0" sourceLinked="0"/>
        <c:majorTickMark val="out"/>
        <c:minorTickMark val="none"/>
        <c:tickLblPos val="nextTo"/>
        <c:crossAx val="108974848"/>
        <c:crosses val="autoZero"/>
        <c:crossBetween val="midCat"/>
      </c:valAx>
      <c:valAx>
        <c:axId val="108974848"/>
        <c:scaling>
          <c:orientation val="minMax"/>
          <c:max val="1600"/>
          <c:min val="0"/>
        </c:scaling>
        <c:delete val="0"/>
        <c:axPos val="l"/>
        <c:majorGridlines/>
        <c:title>
          <c:tx>
            <c:rich>
              <a:bodyPr rot="-5400000" vert="horz"/>
              <a:lstStyle/>
              <a:p>
                <a:pPr>
                  <a:defRPr/>
                </a:pPr>
                <a:r>
                  <a:rPr lang="en-US"/>
                  <a:t>Airflow (CFM)</a:t>
                </a:r>
              </a:p>
            </c:rich>
          </c:tx>
          <c:overlay val="0"/>
        </c:title>
        <c:numFmt formatCode="0" sourceLinked="1"/>
        <c:majorTickMark val="out"/>
        <c:minorTickMark val="none"/>
        <c:tickLblPos val="nextTo"/>
        <c:crossAx val="108354176"/>
        <c:crosses val="autoZero"/>
        <c:crossBetween val="midCat"/>
      </c:valAx>
    </c:plotArea>
    <c:legend>
      <c:legendPos val="l"/>
      <c:layout>
        <c:manualLayout>
          <c:xMode val="edge"/>
          <c:yMode val="edge"/>
          <c:x val="0.16388899387576553"/>
          <c:y val="0.62996355313405727"/>
          <c:w val="0.48012113870381584"/>
          <c:h val="0.14390814892214301"/>
        </c:manualLayout>
      </c:layout>
      <c:overlay val="1"/>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0530183727035"/>
          <c:y val="4.4881640979711659E-2"/>
          <c:w val="0.79615692038495189"/>
          <c:h val="0.75760371185829256"/>
        </c:manualLayout>
      </c:layout>
      <c:scatterChart>
        <c:scatterStyle val="lineMarker"/>
        <c:varyColors val="0"/>
        <c:ser>
          <c:idx val="0"/>
          <c:order val="0"/>
          <c:tx>
            <c:strRef>
              <c:f>'Multi-Door Test-Not Nulled'!$A$58</c:f>
              <c:strCache>
                <c:ptCount val="1"/>
                <c:pt idx="0">
                  <c:v>Unit 6708-End, Jefferson</c:v>
                </c:pt>
              </c:strCache>
            </c:strRef>
          </c:tx>
          <c:spPr>
            <a:ln w="28575">
              <a:noFill/>
            </a:ln>
          </c:spPr>
          <c:trendline>
            <c:spPr>
              <a:ln w="25400">
                <a:solidFill>
                  <a:schemeClr val="tx2">
                    <a:lumMod val="60000"/>
                    <a:lumOff val="40000"/>
                  </a:schemeClr>
                </a:solidFill>
                <a:prstDash val="sysDash"/>
              </a:ln>
            </c:spPr>
            <c:trendlineType val="power"/>
            <c:forward val="10"/>
            <c:backward val="10"/>
            <c:dispRSqr val="1"/>
            <c:dispEq val="1"/>
            <c:trendlineLbl>
              <c:layout>
                <c:manualLayout>
                  <c:x val="-0.24852355364888684"/>
                  <c:y val="7.9809897579837218E-3"/>
                </c:manualLayout>
              </c:layout>
              <c:numFmt formatCode="General" sourceLinked="0"/>
            </c:trendlineLbl>
          </c:trendline>
          <c:xVal>
            <c:numRef>
              <c:f>'Multi-Door Test-Not Nulled'!$B$63:$B$64</c:f>
              <c:numCache>
                <c:formatCode>0.0</c:formatCode>
                <c:ptCount val="2"/>
                <c:pt idx="0">
                  <c:v>51.84</c:v>
                </c:pt>
                <c:pt idx="1">
                  <c:v>41.39</c:v>
                </c:pt>
              </c:numCache>
            </c:numRef>
          </c:xVal>
          <c:yVal>
            <c:numRef>
              <c:f>'Multi-Door Test-Not Nulled'!$C$63:$C$64</c:f>
              <c:numCache>
                <c:formatCode>0</c:formatCode>
                <c:ptCount val="2"/>
                <c:pt idx="0">
                  <c:v>1141.8</c:v>
                </c:pt>
                <c:pt idx="1">
                  <c:v>976.6</c:v>
                </c:pt>
              </c:numCache>
            </c:numRef>
          </c:yVal>
          <c:smooth val="0"/>
        </c:ser>
        <c:dLbls>
          <c:showLegendKey val="0"/>
          <c:showVal val="0"/>
          <c:showCatName val="0"/>
          <c:showSerName val="0"/>
          <c:showPercent val="0"/>
          <c:showBubbleSize val="0"/>
        </c:dLbls>
        <c:axId val="110188032"/>
        <c:axId val="110189952"/>
      </c:scatterChart>
      <c:valAx>
        <c:axId val="110188032"/>
        <c:scaling>
          <c:orientation val="minMax"/>
        </c:scaling>
        <c:delete val="0"/>
        <c:axPos val="b"/>
        <c:title>
          <c:tx>
            <c:rich>
              <a:bodyPr/>
              <a:lstStyle/>
              <a:p>
                <a:pPr>
                  <a:defRPr/>
                </a:pPr>
                <a:r>
                  <a:rPr lang="en-US"/>
                  <a:t>Pressure</a:t>
                </a:r>
                <a:r>
                  <a:rPr lang="en-US" baseline="0"/>
                  <a:t> (Pa)</a:t>
                </a:r>
              </a:p>
            </c:rich>
          </c:tx>
          <c:overlay val="0"/>
        </c:title>
        <c:numFmt formatCode="0" sourceLinked="0"/>
        <c:majorTickMark val="out"/>
        <c:minorTickMark val="none"/>
        <c:tickLblPos val="nextTo"/>
        <c:crossAx val="110189952"/>
        <c:crosses val="autoZero"/>
        <c:crossBetween val="midCat"/>
      </c:valAx>
      <c:valAx>
        <c:axId val="110189952"/>
        <c:scaling>
          <c:orientation val="minMax"/>
          <c:max val="1600"/>
          <c:min val="0"/>
        </c:scaling>
        <c:delete val="0"/>
        <c:axPos val="l"/>
        <c:majorGridlines/>
        <c:title>
          <c:tx>
            <c:rich>
              <a:bodyPr rot="-5400000" vert="horz"/>
              <a:lstStyle/>
              <a:p>
                <a:pPr>
                  <a:defRPr/>
                </a:pPr>
                <a:r>
                  <a:rPr lang="en-US"/>
                  <a:t>Airflow (CFM)</a:t>
                </a:r>
              </a:p>
            </c:rich>
          </c:tx>
          <c:overlay val="0"/>
        </c:title>
        <c:numFmt formatCode="0" sourceLinked="1"/>
        <c:majorTickMark val="out"/>
        <c:minorTickMark val="none"/>
        <c:tickLblPos val="nextTo"/>
        <c:crossAx val="110188032"/>
        <c:crosses val="autoZero"/>
        <c:crossBetween val="midCat"/>
      </c:valAx>
    </c:plotArea>
    <c:legend>
      <c:legendPos val="l"/>
      <c:layout>
        <c:manualLayout>
          <c:xMode val="edge"/>
          <c:yMode val="edge"/>
          <c:x val="0.16388899387576553"/>
          <c:y val="0.62996355313405727"/>
          <c:w val="0.48012113870381584"/>
          <c:h val="0.14390814892214301"/>
        </c:manualLayout>
      </c:layout>
      <c:overlay val="1"/>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31587626744472"/>
          <c:y val="4.4881640979711659E-2"/>
          <c:w val="0.82654634287773288"/>
          <c:h val="0.80358070543242122"/>
        </c:manualLayout>
      </c:layout>
      <c:scatterChart>
        <c:scatterStyle val="lineMarker"/>
        <c:varyColors val="0"/>
        <c:ser>
          <c:idx val="0"/>
          <c:order val="0"/>
          <c:tx>
            <c:v>Garage Door Open</c:v>
          </c:tx>
          <c:spPr>
            <a:ln w="28575">
              <a:noFill/>
            </a:ln>
          </c:spPr>
          <c:trendline>
            <c:spPr>
              <a:ln w="25400">
                <a:solidFill>
                  <a:schemeClr val="tx2">
                    <a:lumMod val="60000"/>
                    <a:lumOff val="40000"/>
                  </a:schemeClr>
                </a:solidFill>
                <a:prstDash val="sysDash"/>
              </a:ln>
            </c:spPr>
            <c:trendlineType val="power"/>
            <c:forward val="10"/>
            <c:backward val="10"/>
            <c:dispRSqr val="1"/>
            <c:dispEq val="1"/>
            <c:trendlineLbl>
              <c:layout>
                <c:manualLayout>
                  <c:x val="-0.33251504063978776"/>
                  <c:y val="0.1528196770095672"/>
                </c:manualLayout>
              </c:layout>
              <c:numFmt formatCode="General" sourceLinked="0"/>
              <c:txPr>
                <a:bodyPr/>
                <a:lstStyle/>
                <a:p>
                  <a:pPr>
                    <a:defRPr b="1">
                      <a:solidFill>
                        <a:schemeClr val="tx2">
                          <a:lumMod val="60000"/>
                          <a:lumOff val="40000"/>
                        </a:schemeClr>
                      </a:solidFill>
                    </a:defRPr>
                  </a:pPr>
                  <a:endParaRPr lang="en-US"/>
                </a:p>
              </c:txPr>
            </c:trendlineLbl>
          </c:trendline>
          <c:xVal>
            <c:numRef>
              <c:f>'BSC Garage Tests'!$B$12:$B$16</c:f>
              <c:numCache>
                <c:formatCode>0.00</c:formatCode>
                <c:ptCount val="5"/>
                <c:pt idx="0">
                  <c:v>49.816666666666663</c:v>
                </c:pt>
                <c:pt idx="1">
                  <c:v>44.826666666666668</c:v>
                </c:pt>
                <c:pt idx="2">
                  <c:v>40.216666666666661</c:v>
                </c:pt>
                <c:pt idx="3">
                  <c:v>34.976666666666667</c:v>
                </c:pt>
                <c:pt idx="4">
                  <c:v>30.016666666666669</c:v>
                </c:pt>
              </c:numCache>
            </c:numRef>
          </c:xVal>
          <c:yVal>
            <c:numRef>
              <c:f>'BSC Garage Tests'!$C$12:$C$16</c:f>
              <c:numCache>
                <c:formatCode>General</c:formatCode>
                <c:ptCount val="5"/>
                <c:pt idx="0">
                  <c:v>1335.5</c:v>
                </c:pt>
                <c:pt idx="1">
                  <c:v>1246.0999999999999</c:v>
                </c:pt>
                <c:pt idx="2">
                  <c:v>1165.2</c:v>
                </c:pt>
                <c:pt idx="3">
                  <c:v>1061.7</c:v>
                </c:pt>
                <c:pt idx="4">
                  <c:v>973.3</c:v>
                </c:pt>
              </c:numCache>
            </c:numRef>
          </c:yVal>
          <c:smooth val="0"/>
        </c:ser>
        <c:ser>
          <c:idx val="1"/>
          <c:order val="1"/>
          <c:tx>
            <c:v>Garage Door Closed</c:v>
          </c:tx>
          <c:spPr>
            <a:ln w="25400">
              <a:noFill/>
              <a:prstDash val="sysDash"/>
            </a:ln>
          </c:spPr>
          <c:trendline>
            <c:spPr>
              <a:ln w="25400">
                <a:solidFill>
                  <a:schemeClr val="accent2"/>
                </a:solidFill>
                <a:prstDash val="sysDash"/>
              </a:ln>
            </c:spPr>
            <c:trendlineType val="power"/>
            <c:forward val="10"/>
            <c:backward val="10"/>
            <c:dispRSqr val="1"/>
            <c:dispEq val="1"/>
            <c:trendlineLbl>
              <c:layout>
                <c:manualLayout>
                  <c:x val="5.2872701879374574E-2"/>
                  <c:y val="0.21084232449717602"/>
                </c:manualLayout>
              </c:layout>
              <c:numFmt formatCode="General" sourceLinked="0"/>
              <c:txPr>
                <a:bodyPr/>
                <a:lstStyle/>
                <a:p>
                  <a:pPr>
                    <a:defRPr>
                      <a:solidFill>
                        <a:schemeClr val="accent2"/>
                      </a:solidFill>
                    </a:defRPr>
                  </a:pPr>
                  <a:endParaRPr lang="en-US"/>
                </a:p>
              </c:txPr>
            </c:trendlineLbl>
          </c:trendline>
          <c:xVal>
            <c:numRef>
              <c:f>'BSC Garage Tests'!$B$26:$B$29</c:f>
              <c:numCache>
                <c:formatCode>0.00</c:formatCode>
                <c:ptCount val="4"/>
                <c:pt idx="0">
                  <c:v>49.896666666666661</c:v>
                </c:pt>
                <c:pt idx="1">
                  <c:v>44.906666666666666</c:v>
                </c:pt>
                <c:pt idx="2">
                  <c:v>40.056666666666665</c:v>
                </c:pt>
                <c:pt idx="3">
                  <c:v>34.886666666666663</c:v>
                </c:pt>
              </c:numCache>
            </c:numRef>
          </c:xVal>
          <c:yVal>
            <c:numRef>
              <c:f>'BSC Garage Tests'!$C$26:$C$29</c:f>
              <c:numCache>
                <c:formatCode>General</c:formatCode>
                <c:ptCount val="4"/>
                <c:pt idx="0">
                  <c:v>1233.5</c:v>
                </c:pt>
                <c:pt idx="1">
                  <c:v>1146.4000000000001</c:v>
                </c:pt>
                <c:pt idx="2">
                  <c:v>1061.0999999999999</c:v>
                </c:pt>
                <c:pt idx="3">
                  <c:v>977.1</c:v>
                </c:pt>
              </c:numCache>
            </c:numRef>
          </c:yVal>
          <c:smooth val="0"/>
        </c:ser>
        <c:dLbls>
          <c:showLegendKey val="0"/>
          <c:showVal val="0"/>
          <c:showCatName val="0"/>
          <c:showSerName val="0"/>
          <c:showPercent val="0"/>
          <c:showBubbleSize val="0"/>
        </c:dLbls>
        <c:axId val="110258432"/>
        <c:axId val="110285184"/>
      </c:scatterChart>
      <c:valAx>
        <c:axId val="110258432"/>
        <c:scaling>
          <c:orientation val="minMax"/>
        </c:scaling>
        <c:delete val="0"/>
        <c:axPos val="b"/>
        <c:title>
          <c:tx>
            <c:rich>
              <a:bodyPr/>
              <a:lstStyle/>
              <a:p>
                <a:pPr>
                  <a:defRPr/>
                </a:pPr>
                <a:r>
                  <a:rPr lang="en-US"/>
                  <a:t>Pressure</a:t>
                </a:r>
                <a:r>
                  <a:rPr lang="en-US" baseline="0"/>
                  <a:t> (Pa)</a:t>
                </a:r>
              </a:p>
            </c:rich>
          </c:tx>
          <c:layout/>
          <c:overlay val="0"/>
        </c:title>
        <c:numFmt formatCode="0" sourceLinked="0"/>
        <c:majorTickMark val="out"/>
        <c:minorTickMark val="none"/>
        <c:tickLblPos val="nextTo"/>
        <c:crossAx val="110285184"/>
        <c:crosses val="autoZero"/>
        <c:crossBetween val="midCat"/>
      </c:valAx>
      <c:valAx>
        <c:axId val="110285184"/>
        <c:scaling>
          <c:orientation val="minMax"/>
          <c:max val="1600"/>
          <c:min val="0"/>
        </c:scaling>
        <c:delete val="0"/>
        <c:axPos val="l"/>
        <c:majorGridlines/>
        <c:title>
          <c:tx>
            <c:rich>
              <a:bodyPr rot="-5400000" vert="horz"/>
              <a:lstStyle/>
              <a:p>
                <a:pPr>
                  <a:defRPr/>
                </a:pPr>
                <a:r>
                  <a:rPr lang="en-US"/>
                  <a:t>Airflow (CFM)</a:t>
                </a:r>
              </a:p>
            </c:rich>
          </c:tx>
          <c:layout/>
          <c:overlay val="0"/>
        </c:title>
        <c:numFmt formatCode="General" sourceLinked="1"/>
        <c:majorTickMark val="out"/>
        <c:minorTickMark val="none"/>
        <c:tickLblPos val="nextTo"/>
        <c:crossAx val="110258432"/>
        <c:crosses val="autoZero"/>
        <c:crossBetween val="midCat"/>
      </c:valAx>
    </c:plotArea>
    <c:legend>
      <c:legendPos val="l"/>
      <c:layout>
        <c:manualLayout>
          <c:xMode val="edge"/>
          <c:yMode val="edge"/>
          <c:x val="0.19795557769396996"/>
          <c:y val="0.55066940018803512"/>
          <c:w val="0.5654545581802275"/>
          <c:h val="0.20709930216068964"/>
        </c:manualLayout>
      </c:layout>
      <c:overlay val="1"/>
    </c:legend>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31587626744472"/>
          <c:y val="4.4881640979711659E-2"/>
          <c:w val="0.82654634287773288"/>
          <c:h val="0.82881740728781139"/>
        </c:manualLayout>
      </c:layout>
      <c:scatterChart>
        <c:scatterStyle val="lineMarker"/>
        <c:varyColors val="0"/>
        <c:ser>
          <c:idx val="2"/>
          <c:order val="0"/>
          <c:tx>
            <c:v>Unit-Non Nulled Test</c:v>
          </c:tx>
          <c:spPr>
            <a:ln w="28575">
              <a:noFill/>
            </a:ln>
          </c:spPr>
          <c:marker>
            <c:spPr>
              <a:solidFill>
                <a:schemeClr val="bg1"/>
              </a:solidFill>
              <a:ln w="25400">
                <a:solidFill>
                  <a:schemeClr val="tx2">
                    <a:lumMod val="75000"/>
                  </a:schemeClr>
                </a:solidFill>
              </a:ln>
            </c:spPr>
          </c:marker>
          <c:trendline>
            <c:spPr>
              <a:ln w="25400">
                <a:solidFill>
                  <a:schemeClr val="tx2">
                    <a:lumMod val="75000"/>
                  </a:schemeClr>
                </a:solidFill>
                <a:prstDash val="sysDash"/>
              </a:ln>
            </c:spPr>
            <c:trendlineType val="power"/>
            <c:forward val="10"/>
            <c:backward val="10"/>
            <c:dispRSqr val="1"/>
            <c:dispEq val="1"/>
            <c:trendlineLbl>
              <c:layout>
                <c:manualLayout>
                  <c:x val="-0.13666956934247912"/>
                  <c:y val="1.8209758480505395E-2"/>
                </c:manualLayout>
              </c:layout>
              <c:numFmt formatCode="General" sourceLinked="0"/>
              <c:txPr>
                <a:bodyPr/>
                <a:lstStyle/>
                <a:p>
                  <a:pPr>
                    <a:defRPr>
                      <a:solidFill>
                        <a:schemeClr val="tx2">
                          <a:lumMod val="75000"/>
                        </a:schemeClr>
                      </a:solidFill>
                    </a:defRPr>
                  </a:pPr>
                  <a:endParaRPr lang="en-US"/>
                </a:p>
              </c:txPr>
            </c:trendlineLbl>
          </c:trendline>
          <c:xVal>
            <c:numRef>
              <c:f>'BSC Mech Rm Tests'!$B$24:$B$28</c:f>
              <c:numCache>
                <c:formatCode>General</c:formatCode>
                <c:ptCount val="5"/>
                <c:pt idx="0">
                  <c:v>50.22</c:v>
                </c:pt>
                <c:pt idx="1">
                  <c:v>45.3</c:v>
                </c:pt>
                <c:pt idx="2">
                  <c:v>40.349999999999994</c:v>
                </c:pt>
                <c:pt idx="3">
                  <c:v>35.529999999999994</c:v>
                </c:pt>
                <c:pt idx="4">
                  <c:v>30.580000000000002</c:v>
                </c:pt>
              </c:numCache>
            </c:numRef>
          </c:xVal>
          <c:yVal>
            <c:numRef>
              <c:f>'BSC Mech Rm Tests'!$C$24:$C$28</c:f>
              <c:numCache>
                <c:formatCode>General</c:formatCode>
                <c:ptCount val="5"/>
                <c:pt idx="0">
                  <c:v>1335.9</c:v>
                </c:pt>
                <c:pt idx="1">
                  <c:v>1250.9000000000001</c:v>
                </c:pt>
                <c:pt idx="2">
                  <c:v>1166.0999999999999</c:v>
                </c:pt>
                <c:pt idx="3">
                  <c:v>1072.8</c:v>
                </c:pt>
                <c:pt idx="4">
                  <c:v>976.3</c:v>
                </c:pt>
              </c:numCache>
            </c:numRef>
          </c:yVal>
          <c:smooth val="0"/>
        </c:ser>
        <c:ser>
          <c:idx val="0"/>
          <c:order val="1"/>
          <c:tx>
            <c:v>Unit-Nulled Test</c:v>
          </c:tx>
          <c:spPr>
            <a:ln w="28575">
              <a:noFill/>
            </a:ln>
          </c:spPr>
          <c:trendline>
            <c:spPr>
              <a:ln w="25400">
                <a:solidFill>
                  <a:schemeClr val="tx2">
                    <a:lumMod val="60000"/>
                    <a:lumOff val="40000"/>
                  </a:schemeClr>
                </a:solidFill>
                <a:prstDash val="sysDash"/>
              </a:ln>
            </c:spPr>
            <c:trendlineType val="power"/>
            <c:forward val="10"/>
            <c:backward val="10"/>
            <c:dispRSqr val="1"/>
            <c:dispEq val="1"/>
            <c:trendlineLbl>
              <c:layout>
                <c:manualLayout>
                  <c:x val="8.764199897386056E-2"/>
                  <c:y val="0.14219892860395605"/>
                </c:manualLayout>
              </c:layout>
              <c:numFmt formatCode="General" sourceLinked="0"/>
              <c:txPr>
                <a:bodyPr/>
                <a:lstStyle/>
                <a:p>
                  <a:pPr>
                    <a:defRPr b="1">
                      <a:solidFill>
                        <a:schemeClr val="tx2">
                          <a:lumMod val="60000"/>
                          <a:lumOff val="40000"/>
                        </a:schemeClr>
                      </a:solidFill>
                    </a:defRPr>
                  </a:pPr>
                  <a:endParaRPr lang="en-US"/>
                </a:p>
              </c:txPr>
            </c:trendlineLbl>
          </c:trendline>
          <c:xVal>
            <c:numRef>
              <c:f>'BSC Mech Rm Tests'!$B$12:$B$14</c:f>
              <c:numCache>
                <c:formatCode>General</c:formatCode>
                <c:ptCount val="3"/>
                <c:pt idx="0">
                  <c:v>50.25</c:v>
                </c:pt>
                <c:pt idx="1">
                  <c:v>45.279999999999994</c:v>
                </c:pt>
                <c:pt idx="2">
                  <c:v>40.239999999999995</c:v>
                </c:pt>
              </c:numCache>
            </c:numRef>
          </c:xVal>
          <c:yVal>
            <c:numRef>
              <c:f>'BSC Mech Rm Tests'!$C$12:$C$14</c:f>
              <c:numCache>
                <c:formatCode>General</c:formatCode>
                <c:ptCount val="3"/>
                <c:pt idx="0">
                  <c:v>1124.8</c:v>
                </c:pt>
                <c:pt idx="1">
                  <c:v>1051.9000000000001</c:v>
                </c:pt>
                <c:pt idx="2">
                  <c:v>967.9</c:v>
                </c:pt>
              </c:numCache>
            </c:numRef>
          </c:yVal>
          <c:smooth val="0"/>
        </c:ser>
        <c:ser>
          <c:idx val="1"/>
          <c:order val="2"/>
          <c:tx>
            <c:v>Mechanical Rm-Nulled Test</c:v>
          </c:tx>
          <c:spPr>
            <a:ln w="25400">
              <a:noFill/>
              <a:prstDash val="sysDash"/>
            </a:ln>
          </c:spPr>
          <c:marker>
            <c:symbol val="diamond"/>
            <c:size val="7"/>
          </c:marker>
          <c:trendline>
            <c:spPr>
              <a:ln w="25400">
                <a:solidFill>
                  <a:schemeClr val="accent2"/>
                </a:solidFill>
                <a:prstDash val="sysDash"/>
              </a:ln>
            </c:spPr>
            <c:trendlineType val="power"/>
            <c:forward val="10"/>
            <c:backward val="10"/>
            <c:dispRSqr val="1"/>
            <c:dispEq val="1"/>
            <c:trendlineLbl>
              <c:layout>
                <c:manualLayout>
                  <c:x val="6.1199665876556585E-2"/>
                  <c:y val="-8.8195931344544079E-2"/>
                </c:manualLayout>
              </c:layout>
              <c:numFmt formatCode="General" sourceLinked="0"/>
              <c:txPr>
                <a:bodyPr/>
                <a:lstStyle/>
                <a:p>
                  <a:pPr>
                    <a:defRPr>
                      <a:solidFill>
                        <a:schemeClr val="accent2"/>
                      </a:solidFill>
                    </a:defRPr>
                  </a:pPr>
                  <a:endParaRPr lang="en-US"/>
                </a:p>
              </c:txPr>
            </c:trendlineLbl>
          </c:trendline>
          <c:xVal>
            <c:numRef>
              <c:f>'BSC Mech Rm Tests'!$E$12:$E$14</c:f>
              <c:numCache>
                <c:formatCode>General</c:formatCode>
                <c:ptCount val="3"/>
                <c:pt idx="0">
                  <c:v>52.780000000000008</c:v>
                </c:pt>
                <c:pt idx="1">
                  <c:v>47.769999999999996</c:v>
                </c:pt>
                <c:pt idx="2">
                  <c:v>43.03</c:v>
                </c:pt>
              </c:numCache>
            </c:numRef>
          </c:xVal>
          <c:yVal>
            <c:numRef>
              <c:f>'BSC Mech Rm Tests'!$F$12:$F$14</c:f>
              <c:numCache>
                <c:formatCode>General</c:formatCode>
                <c:ptCount val="3"/>
                <c:pt idx="0">
                  <c:v>309.7</c:v>
                </c:pt>
                <c:pt idx="1">
                  <c:v>291.89999999999998</c:v>
                </c:pt>
                <c:pt idx="2">
                  <c:v>279</c:v>
                </c:pt>
              </c:numCache>
            </c:numRef>
          </c:yVal>
          <c:smooth val="0"/>
        </c:ser>
        <c:dLbls>
          <c:showLegendKey val="0"/>
          <c:showVal val="0"/>
          <c:showCatName val="0"/>
          <c:showSerName val="0"/>
          <c:showPercent val="0"/>
          <c:showBubbleSize val="0"/>
        </c:dLbls>
        <c:axId val="110330624"/>
        <c:axId val="110332544"/>
      </c:scatterChart>
      <c:valAx>
        <c:axId val="110330624"/>
        <c:scaling>
          <c:orientation val="minMax"/>
        </c:scaling>
        <c:delete val="0"/>
        <c:axPos val="b"/>
        <c:title>
          <c:tx>
            <c:rich>
              <a:bodyPr/>
              <a:lstStyle/>
              <a:p>
                <a:pPr>
                  <a:defRPr/>
                </a:pPr>
                <a:r>
                  <a:rPr lang="en-US"/>
                  <a:t>Pressure</a:t>
                </a:r>
                <a:r>
                  <a:rPr lang="en-US" baseline="0"/>
                  <a:t> (Pa)</a:t>
                </a:r>
              </a:p>
            </c:rich>
          </c:tx>
          <c:layout/>
          <c:overlay val="0"/>
        </c:title>
        <c:numFmt formatCode="0" sourceLinked="0"/>
        <c:majorTickMark val="out"/>
        <c:minorTickMark val="none"/>
        <c:tickLblPos val="nextTo"/>
        <c:crossAx val="110332544"/>
        <c:crosses val="autoZero"/>
        <c:crossBetween val="midCat"/>
      </c:valAx>
      <c:valAx>
        <c:axId val="110332544"/>
        <c:scaling>
          <c:orientation val="minMax"/>
          <c:min val="0"/>
        </c:scaling>
        <c:delete val="0"/>
        <c:axPos val="l"/>
        <c:majorGridlines/>
        <c:title>
          <c:tx>
            <c:rich>
              <a:bodyPr rot="-5400000" vert="horz"/>
              <a:lstStyle/>
              <a:p>
                <a:pPr>
                  <a:defRPr/>
                </a:pPr>
                <a:r>
                  <a:rPr lang="en-US"/>
                  <a:t>Airflow (CFM)</a:t>
                </a:r>
              </a:p>
            </c:rich>
          </c:tx>
          <c:layout/>
          <c:overlay val="0"/>
        </c:title>
        <c:numFmt formatCode="General" sourceLinked="1"/>
        <c:majorTickMark val="out"/>
        <c:minorTickMark val="none"/>
        <c:tickLblPos val="nextTo"/>
        <c:crossAx val="110330624"/>
        <c:crosses val="autoZero"/>
        <c:crossBetween val="midCat"/>
      </c:valAx>
    </c:plotArea>
    <c:legend>
      <c:legendPos val="l"/>
      <c:layout>
        <c:manualLayout>
          <c:xMode val="edge"/>
          <c:yMode val="edge"/>
          <c:x val="8.9060368544778348E-2"/>
          <c:y val="0.52543282247447776"/>
          <c:w val="0.52240288116663236"/>
          <c:h val="0.33748842908831977"/>
        </c:manualLayout>
      </c:layout>
      <c:overlay val="1"/>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0530183727035"/>
          <c:y val="4.4881640979711659E-2"/>
          <c:w val="0.79615692038495189"/>
          <c:h val="0.75760371185829256"/>
        </c:manualLayout>
      </c:layout>
      <c:scatterChart>
        <c:scatterStyle val="lineMarker"/>
        <c:varyColors val="0"/>
        <c:ser>
          <c:idx val="0"/>
          <c:order val="0"/>
          <c:tx>
            <c:strRef>
              <c:f>'Multi-Door Test-Nulled'!$G$3:$L$3</c:f>
              <c:strCache>
                <c:ptCount val="1"/>
                <c:pt idx="0">
                  <c:v>Unit 6702-Guarded</c:v>
                </c:pt>
              </c:strCache>
            </c:strRef>
          </c:tx>
          <c:spPr>
            <a:ln w="28575">
              <a:noFill/>
            </a:ln>
          </c:spPr>
          <c:trendline>
            <c:spPr>
              <a:ln w="25400">
                <a:solidFill>
                  <a:schemeClr val="tx2">
                    <a:lumMod val="60000"/>
                    <a:lumOff val="40000"/>
                  </a:schemeClr>
                </a:solidFill>
                <a:prstDash val="sysDash"/>
              </a:ln>
            </c:spPr>
            <c:trendlineType val="power"/>
            <c:forward val="10"/>
            <c:backward val="10"/>
            <c:dispRSqr val="1"/>
            <c:dispEq val="1"/>
            <c:trendlineLbl>
              <c:layout>
                <c:manualLayout>
                  <c:x val="-0.24852355364888684"/>
                  <c:y val="7.9809897579837218E-3"/>
                </c:manualLayout>
              </c:layout>
              <c:numFmt formatCode="General" sourceLinked="0"/>
            </c:trendlineLbl>
          </c:trendline>
          <c:xVal>
            <c:numRef>
              <c:f>'Multi-Door Test-Nulled'!$J$5:$J$9</c:f>
              <c:numCache>
                <c:formatCode>0.0</c:formatCode>
                <c:ptCount val="5"/>
                <c:pt idx="0">
                  <c:v>55.765000000000001</c:v>
                </c:pt>
                <c:pt idx="1">
                  <c:v>45.155000000000001</c:v>
                </c:pt>
                <c:pt idx="2">
                  <c:v>47.144999999999996</c:v>
                </c:pt>
                <c:pt idx="3">
                  <c:v>35.034999999999997</c:v>
                </c:pt>
                <c:pt idx="4">
                  <c:v>27.375</c:v>
                </c:pt>
              </c:numCache>
            </c:numRef>
          </c:xVal>
          <c:yVal>
            <c:numRef>
              <c:f>'Multi-Door Test-Nulled'!$K$5:$K$9</c:f>
              <c:numCache>
                <c:formatCode>0</c:formatCode>
                <c:ptCount val="5"/>
                <c:pt idx="0">
                  <c:v>1151.3</c:v>
                </c:pt>
                <c:pt idx="1">
                  <c:v>976.8</c:v>
                </c:pt>
                <c:pt idx="2">
                  <c:v>1007.8</c:v>
                </c:pt>
                <c:pt idx="3">
                  <c:v>789.8</c:v>
                </c:pt>
                <c:pt idx="4">
                  <c:v>640.4</c:v>
                </c:pt>
              </c:numCache>
            </c:numRef>
          </c:yVal>
          <c:smooth val="0"/>
        </c:ser>
        <c:dLbls>
          <c:showLegendKey val="0"/>
          <c:showVal val="0"/>
          <c:showCatName val="0"/>
          <c:showSerName val="0"/>
          <c:showPercent val="0"/>
          <c:showBubbleSize val="0"/>
        </c:dLbls>
        <c:axId val="107794816"/>
        <c:axId val="107796736"/>
      </c:scatterChart>
      <c:valAx>
        <c:axId val="107794816"/>
        <c:scaling>
          <c:orientation val="minMax"/>
        </c:scaling>
        <c:delete val="0"/>
        <c:axPos val="b"/>
        <c:title>
          <c:tx>
            <c:rich>
              <a:bodyPr/>
              <a:lstStyle/>
              <a:p>
                <a:pPr>
                  <a:defRPr/>
                </a:pPr>
                <a:r>
                  <a:rPr lang="en-US"/>
                  <a:t>Pressure</a:t>
                </a:r>
                <a:r>
                  <a:rPr lang="en-US" baseline="0"/>
                  <a:t> (Pa)</a:t>
                </a:r>
              </a:p>
            </c:rich>
          </c:tx>
          <c:layout/>
          <c:overlay val="0"/>
        </c:title>
        <c:numFmt formatCode="0" sourceLinked="0"/>
        <c:majorTickMark val="out"/>
        <c:minorTickMark val="none"/>
        <c:tickLblPos val="nextTo"/>
        <c:crossAx val="107796736"/>
        <c:crosses val="autoZero"/>
        <c:crossBetween val="midCat"/>
      </c:valAx>
      <c:valAx>
        <c:axId val="107796736"/>
        <c:scaling>
          <c:orientation val="minMax"/>
          <c:max val="1400"/>
          <c:min val="0"/>
        </c:scaling>
        <c:delete val="0"/>
        <c:axPos val="l"/>
        <c:majorGridlines/>
        <c:title>
          <c:tx>
            <c:rich>
              <a:bodyPr rot="-5400000" vert="horz"/>
              <a:lstStyle/>
              <a:p>
                <a:pPr>
                  <a:defRPr/>
                </a:pPr>
                <a:r>
                  <a:rPr lang="en-US"/>
                  <a:t>Airflow (CFM)</a:t>
                </a:r>
              </a:p>
            </c:rich>
          </c:tx>
          <c:layout/>
          <c:overlay val="0"/>
        </c:title>
        <c:numFmt formatCode="0" sourceLinked="1"/>
        <c:majorTickMark val="out"/>
        <c:minorTickMark val="none"/>
        <c:tickLblPos val="nextTo"/>
        <c:crossAx val="107794816"/>
        <c:crosses val="autoZero"/>
        <c:crossBetween val="midCat"/>
      </c:valAx>
    </c:plotArea>
    <c:legend>
      <c:legendPos val="l"/>
      <c:layout>
        <c:manualLayout>
          <c:xMode val="edge"/>
          <c:yMode val="edge"/>
          <c:x val="0.16388899387576553"/>
          <c:y val="0.62996355313405727"/>
          <c:w val="0.48012113870381584"/>
          <c:h val="0.14390814892214301"/>
        </c:manualLayout>
      </c:layout>
      <c:overlay val="1"/>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0530183727035"/>
          <c:y val="4.4881640979711659E-2"/>
          <c:w val="0.79615692038495189"/>
          <c:h val="0.75760371185829256"/>
        </c:manualLayout>
      </c:layout>
      <c:scatterChart>
        <c:scatterStyle val="lineMarker"/>
        <c:varyColors val="0"/>
        <c:ser>
          <c:idx val="0"/>
          <c:order val="0"/>
          <c:tx>
            <c:strRef>
              <c:f>'Multi-Door Test-Nulled'!$M$3:$R$3</c:f>
              <c:strCache>
                <c:ptCount val="1"/>
                <c:pt idx="0">
                  <c:v>Unit 6704-Guarded</c:v>
                </c:pt>
              </c:strCache>
            </c:strRef>
          </c:tx>
          <c:spPr>
            <a:ln w="28575">
              <a:noFill/>
            </a:ln>
          </c:spPr>
          <c:trendline>
            <c:spPr>
              <a:ln w="25400">
                <a:solidFill>
                  <a:schemeClr val="tx2">
                    <a:lumMod val="60000"/>
                    <a:lumOff val="40000"/>
                  </a:schemeClr>
                </a:solidFill>
                <a:prstDash val="sysDash"/>
              </a:ln>
            </c:spPr>
            <c:trendlineType val="power"/>
            <c:forward val="10"/>
            <c:backward val="10"/>
            <c:dispRSqr val="1"/>
            <c:dispEq val="1"/>
            <c:trendlineLbl>
              <c:layout>
                <c:manualLayout>
                  <c:x val="-0.24852355364888684"/>
                  <c:y val="7.9809897579837218E-3"/>
                </c:manualLayout>
              </c:layout>
              <c:numFmt formatCode="General" sourceLinked="0"/>
            </c:trendlineLbl>
          </c:trendline>
          <c:xVal>
            <c:numRef>
              <c:f>'Multi-Door Test-Nulled'!$P$5:$P$9</c:f>
              <c:numCache>
                <c:formatCode>0.0</c:formatCode>
                <c:ptCount val="5"/>
                <c:pt idx="0">
                  <c:v>55.87</c:v>
                </c:pt>
                <c:pt idx="1">
                  <c:v>45.59</c:v>
                </c:pt>
                <c:pt idx="2">
                  <c:v>44.97</c:v>
                </c:pt>
                <c:pt idx="3">
                  <c:v>36.090000000000003</c:v>
                </c:pt>
                <c:pt idx="4">
                  <c:v>25.92</c:v>
                </c:pt>
              </c:numCache>
            </c:numRef>
          </c:xVal>
          <c:yVal>
            <c:numRef>
              <c:f>'Multi-Door Test-Nulled'!$Q$5:$Q$9</c:f>
              <c:numCache>
                <c:formatCode>0</c:formatCode>
                <c:ptCount val="5"/>
                <c:pt idx="0">
                  <c:v>1098.7</c:v>
                </c:pt>
                <c:pt idx="1">
                  <c:v>945.5</c:v>
                </c:pt>
                <c:pt idx="2">
                  <c:v>894.8</c:v>
                </c:pt>
                <c:pt idx="3">
                  <c:v>799.9</c:v>
                </c:pt>
                <c:pt idx="4">
                  <c:v>596</c:v>
                </c:pt>
              </c:numCache>
            </c:numRef>
          </c:yVal>
          <c:smooth val="0"/>
        </c:ser>
        <c:dLbls>
          <c:showLegendKey val="0"/>
          <c:showVal val="0"/>
          <c:showCatName val="0"/>
          <c:showSerName val="0"/>
          <c:showPercent val="0"/>
          <c:showBubbleSize val="0"/>
        </c:dLbls>
        <c:axId val="107805696"/>
        <c:axId val="107816064"/>
      </c:scatterChart>
      <c:valAx>
        <c:axId val="107805696"/>
        <c:scaling>
          <c:orientation val="minMax"/>
        </c:scaling>
        <c:delete val="0"/>
        <c:axPos val="b"/>
        <c:title>
          <c:tx>
            <c:rich>
              <a:bodyPr/>
              <a:lstStyle/>
              <a:p>
                <a:pPr>
                  <a:defRPr/>
                </a:pPr>
                <a:r>
                  <a:rPr lang="en-US"/>
                  <a:t>Pressure</a:t>
                </a:r>
                <a:r>
                  <a:rPr lang="en-US" baseline="0"/>
                  <a:t> (Pa)</a:t>
                </a:r>
              </a:p>
            </c:rich>
          </c:tx>
          <c:layout/>
          <c:overlay val="0"/>
        </c:title>
        <c:numFmt formatCode="0" sourceLinked="0"/>
        <c:majorTickMark val="out"/>
        <c:minorTickMark val="none"/>
        <c:tickLblPos val="nextTo"/>
        <c:crossAx val="107816064"/>
        <c:crosses val="autoZero"/>
        <c:crossBetween val="midCat"/>
      </c:valAx>
      <c:valAx>
        <c:axId val="107816064"/>
        <c:scaling>
          <c:orientation val="minMax"/>
          <c:max val="1400"/>
          <c:min val="0"/>
        </c:scaling>
        <c:delete val="0"/>
        <c:axPos val="l"/>
        <c:majorGridlines/>
        <c:title>
          <c:tx>
            <c:rich>
              <a:bodyPr rot="-5400000" vert="horz"/>
              <a:lstStyle/>
              <a:p>
                <a:pPr>
                  <a:defRPr/>
                </a:pPr>
                <a:r>
                  <a:rPr lang="en-US"/>
                  <a:t>Airflow (CFM)</a:t>
                </a:r>
              </a:p>
            </c:rich>
          </c:tx>
          <c:layout/>
          <c:overlay val="0"/>
        </c:title>
        <c:numFmt formatCode="0" sourceLinked="1"/>
        <c:majorTickMark val="out"/>
        <c:minorTickMark val="none"/>
        <c:tickLblPos val="nextTo"/>
        <c:crossAx val="107805696"/>
        <c:crosses val="autoZero"/>
        <c:crossBetween val="midCat"/>
      </c:valAx>
    </c:plotArea>
    <c:legend>
      <c:legendPos val="l"/>
      <c:layout>
        <c:manualLayout>
          <c:xMode val="edge"/>
          <c:yMode val="edge"/>
          <c:x val="0.16388899387576553"/>
          <c:y val="0.62996355313405727"/>
          <c:w val="0.48012113870381584"/>
          <c:h val="0.14390814892214301"/>
        </c:manualLayout>
      </c:layout>
      <c:overlay val="1"/>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0530183727035"/>
          <c:y val="4.4881640979711659E-2"/>
          <c:w val="0.79615692038495189"/>
          <c:h val="0.75760371185829256"/>
        </c:manualLayout>
      </c:layout>
      <c:scatterChart>
        <c:scatterStyle val="lineMarker"/>
        <c:varyColors val="0"/>
        <c:ser>
          <c:idx val="0"/>
          <c:order val="0"/>
          <c:tx>
            <c:strRef>
              <c:f>'Multi-Door Test-Nulled'!$S$3:$X$3</c:f>
              <c:strCache>
                <c:ptCount val="1"/>
                <c:pt idx="0">
                  <c:v>Unit 6706-Guarded</c:v>
                </c:pt>
              </c:strCache>
            </c:strRef>
          </c:tx>
          <c:spPr>
            <a:ln w="28575">
              <a:noFill/>
            </a:ln>
          </c:spPr>
          <c:trendline>
            <c:spPr>
              <a:ln w="25400">
                <a:solidFill>
                  <a:schemeClr val="tx2">
                    <a:lumMod val="60000"/>
                    <a:lumOff val="40000"/>
                  </a:schemeClr>
                </a:solidFill>
                <a:prstDash val="sysDash"/>
              </a:ln>
            </c:spPr>
            <c:trendlineType val="power"/>
            <c:forward val="10"/>
            <c:backward val="10"/>
            <c:dispRSqr val="1"/>
            <c:dispEq val="1"/>
            <c:trendlineLbl>
              <c:layout>
                <c:manualLayout>
                  <c:x val="-0.24852355364888684"/>
                  <c:y val="7.9809897579837218E-3"/>
                </c:manualLayout>
              </c:layout>
              <c:numFmt formatCode="General" sourceLinked="0"/>
            </c:trendlineLbl>
          </c:trendline>
          <c:xVal>
            <c:numRef>
              <c:f>'Multi-Door Test-Nulled'!$V$5:$V$9</c:f>
              <c:numCache>
                <c:formatCode>0.0</c:formatCode>
                <c:ptCount val="5"/>
                <c:pt idx="0">
                  <c:v>56.739999999999995</c:v>
                </c:pt>
                <c:pt idx="1">
                  <c:v>46.47</c:v>
                </c:pt>
                <c:pt idx="2">
                  <c:v>45.89</c:v>
                </c:pt>
                <c:pt idx="3">
                  <c:v>34.71</c:v>
                </c:pt>
                <c:pt idx="4">
                  <c:v>27.39</c:v>
                </c:pt>
              </c:numCache>
            </c:numRef>
          </c:xVal>
          <c:yVal>
            <c:numRef>
              <c:f>'Multi-Door Test-Nulled'!$W$5:$W$9</c:f>
              <c:numCache>
                <c:formatCode>0</c:formatCode>
                <c:ptCount val="5"/>
                <c:pt idx="0">
                  <c:v>1188.9000000000001</c:v>
                </c:pt>
                <c:pt idx="1">
                  <c:v>1038</c:v>
                </c:pt>
                <c:pt idx="2">
                  <c:v>1005</c:v>
                </c:pt>
                <c:pt idx="3">
                  <c:v>840.6</c:v>
                </c:pt>
                <c:pt idx="4">
                  <c:v>686.3</c:v>
                </c:pt>
              </c:numCache>
            </c:numRef>
          </c:yVal>
          <c:smooth val="0"/>
        </c:ser>
        <c:dLbls>
          <c:showLegendKey val="0"/>
          <c:showVal val="0"/>
          <c:showCatName val="0"/>
          <c:showSerName val="0"/>
          <c:showPercent val="0"/>
          <c:showBubbleSize val="0"/>
        </c:dLbls>
        <c:axId val="107825024"/>
        <c:axId val="107827200"/>
      </c:scatterChart>
      <c:valAx>
        <c:axId val="107825024"/>
        <c:scaling>
          <c:orientation val="minMax"/>
        </c:scaling>
        <c:delete val="0"/>
        <c:axPos val="b"/>
        <c:title>
          <c:tx>
            <c:rich>
              <a:bodyPr/>
              <a:lstStyle/>
              <a:p>
                <a:pPr>
                  <a:defRPr/>
                </a:pPr>
                <a:r>
                  <a:rPr lang="en-US"/>
                  <a:t>Pressure</a:t>
                </a:r>
                <a:r>
                  <a:rPr lang="en-US" baseline="0"/>
                  <a:t> (Pa)</a:t>
                </a:r>
              </a:p>
            </c:rich>
          </c:tx>
          <c:layout/>
          <c:overlay val="0"/>
        </c:title>
        <c:numFmt formatCode="0" sourceLinked="0"/>
        <c:majorTickMark val="out"/>
        <c:minorTickMark val="none"/>
        <c:tickLblPos val="nextTo"/>
        <c:crossAx val="107827200"/>
        <c:crosses val="autoZero"/>
        <c:crossBetween val="midCat"/>
      </c:valAx>
      <c:valAx>
        <c:axId val="107827200"/>
        <c:scaling>
          <c:orientation val="minMax"/>
          <c:max val="1400"/>
          <c:min val="0"/>
        </c:scaling>
        <c:delete val="0"/>
        <c:axPos val="l"/>
        <c:majorGridlines/>
        <c:title>
          <c:tx>
            <c:rich>
              <a:bodyPr rot="-5400000" vert="horz"/>
              <a:lstStyle/>
              <a:p>
                <a:pPr>
                  <a:defRPr/>
                </a:pPr>
                <a:r>
                  <a:rPr lang="en-US"/>
                  <a:t>Airflow (CFM)</a:t>
                </a:r>
              </a:p>
            </c:rich>
          </c:tx>
          <c:layout/>
          <c:overlay val="0"/>
        </c:title>
        <c:numFmt formatCode="0" sourceLinked="1"/>
        <c:majorTickMark val="out"/>
        <c:minorTickMark val="none"/>
        <c:tickLblPos val="nextTo"/>
        <c:crossAx val="107825024"/>
        <c:crosses val="autoZero"/>
        <c:crossBetween val="midCat"/>
      </c:valAx>
    </c:plotArea>
    <c:legend>
      <c:legendPos val="l"/>
      <c:layout>
        <c:manualLayout>
          <c:xMode val="edge"/>
          <c:yMode val="edge"/>
          <c:x val="0.16388899387576553"/>
          <c:y val="0.62996355313405727"/>
          <c:w val="0.48012113870381584"/>
          <c:h val="0.14390814892214301"/>
        </c:manualLayout>
      </c:layout>
      <c:overlay val="1"/>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0530183727035"/>
          <c:y val="4.4881640979711659E-2"/>
          <c:w val="0.79615692038495189"/>
          <c:h val="0.75760371185829256"/>
        </c:manualLayout>
      </c:layout>
      <c:scatterChart>
        <c:scatterStyle val="lineMarker"/>
        <c:varyColors val="0"/>
        <c:ser>
          <c:idx val="0"/>
          <c:order val="0"/>
          <c:tx>
            <c:strRef>
              <c:f>'Multi-Door Test-Nulled'!$Y$3:$AD$3</c:f>
              <c:strCache>
                <c:ptCount val="1"/>
                <c:pt idx="0">
                  <c:v>Unit 6708-Guarded</c:v>
                </c:pt>
              </c:strCache>
            </c:strRef>
          </c:tx>
          <c:spPr>
            <a:ln w="28575">
              <a:noFill/>
            </a:ln>
          </c:spPr>
          <c:trendline>
            <c:spPr>
              <a:ln w="25400">
                <a:solidFill>
                  <a:schemeClr val="tx2">
                    <a:lumMod val="60000"/>
                    <a:lumOff val="40000"/>
                  </a:schemeClr>
                </a:solidFill>
                <a:prstDash val="sysDash"/>
              </a:ln>
            </c:spPr>
            <c:trendlineType val="power"/>
            <c:forward val="10"/>
            <c:backward val="10"/>
            <c:dispRSqr val="1"/>
            <c:dispEq val="1"/>
            <c:trendlineLbl>
              <c:layout>
                <c:manualLayout>
                  <c:x val="-0.24852355364888684"/>
                  <c:y val="7.9809897579837218E-3"/>
                </c:manualLayout>
              </c:layout>
              <c:numFmt formatCode="General" sourceLinked="0"/>
            </c:trendlineLbl>
          </c:trendline>
          <c:xVal>
            <c:numRef>
              <c:f>'Multi-Door Test-Nulled'!$AB$5:$AB$9</c:f>
              <c:numCache>
                <c:formatCode>0.0</c:formatCode>
                <c:ptCount val="5"/>
                <c:pt idx="0">
                  <c:v>55.730000000000004</c:v>
                </c:pt>
                <c:pt idx="1">
                  <c:v>46.910000000000004</c:v>
                </c:pt>
                <c:pt idx="2">
                  <c:v>46.42</c:v>
                </c:pt>
                <c:pt idx="3">
                  <c:v>36.630000000000003</c:v>
                </c:pt>
                <c:pt idx="4">
                  <c:v>26.81</c:v>
                </c:pt>
              </c:numCache>
            </c:numRef>
          </c:xVal>
          <c:yVal>
            <c:numRef>
              <c:f>'Multi-Door Test-Nulled'!$AC$5:$AC$9</c:f>
              <c:numCache>
                <c:formatCode>0</c:formatCode>
                <c:ptCount val="5"/>
                <c:pt idx="0">
                  <c:v>1066.8</c:v>
                </c:pt>
                <c:pt idx="1">
                  <c:v>949.1</c:v>
                </c:pt>
                <c:pt idx="2">
                  <c:v>918.7</c:v>
                </c:pt>
                <c:pt idx="3">
                  <c:v>811</c:v>
                </c:pt>
                <c:pt idx="4">
                  <c:v>615.79999999999995</c:v>
                </c:pt>
              </c:numCache>
            </c:numRef>
          </c:yVal>
          <c:smooth val="0"/>
        </c:ser>
        <c:dLbls>
          <c:showLegendKey val="0"/>
          <c:showVal val="0"/>
          <c:showCatName val="0"/>
          <c:showSerName val="0"/>
          <c:showPercent val="0"/>
          <c:showBubbleSize val="0"/>
        </c:dLbls>
        <c:axId val="107844352"/>
        <c:axId val="107846272"/>
      </c:scatterChart>
      <c:valAx>
        <c:axId val="107844352"/>
        <c:scaling>
          <c:orientation val="minMax"/>
        </c:scaling>
        <c:delete val="0"/>
        <c:axPos val="b"/>
        <c:title>
          <c:tx>
            <c:rich>
              <a:bodyPr/>
              <a:lstStyle/>
              <a:p>
                <a:pPr>
                  <a:defRPr/>
                </a:pPr>
                <a:r>
                  <a:rPr lang="en-US"/>
                  <a:t>Pressure</a:t>
                </a:r>
                <a:r>
                  <a:rPr lang="en-US" baseline="0"/>
                  <a:t> (Pa)</a:t>
                </a:r>
              </a:p>
            </c:rich>
          </c:tx>
          <c:layout/>
          <c:overlay val="0"/>
        </c:title>
        <c:numFmt formatCode="0" sourceLinked="0"/>
        <c:majorTickMark val="out"/>
        <c:minorTickMark val="none"/>
        <c:tickLblPos val="nextTo"/>
        <c:crossAx val="107846272"/>
        <c:crosses val="autoZero"/>
        <c:crossBetween val="midCat"/>
      </c:valAx>
      <c:valAx>
        <c:axId val="107846272"/>
        <c:scaling>
          <c:orientation val="minMax"/>
          <c:max val="1400"/>
          <c:min val="0"/>
        </c:scaling>
        <c:delete val="0"/>
        <c:axPos val="l"/>
        <c:majorGridlines/>
        <c:title>
          <c:tx>
            <c:rich>
              <a:bodyPr rot="-5400000" vert="horz"/>
              <a:lstStyle/>
              <a:p>
                <a:pPr>
                  <a:defRPr/>
                </a:pPr>
                <a:r>
                  <a:rPr lang="en-US"/>
                  <a:t>Airflow (CFM)</a:t>
                </a:r>
              </a:p>
            </c:rich>
          </c:tx>
          <c:layout/>
          <c:overlay val="0"/>
        </c:title>
        <c:numFmt formatCode="0" sourceLinked="1"/>
        <c:majorTickMark val="out"/>
        <c:minorTickMark val="none"/>
        <c:tickLblPos val="nextTo"/>
        <c:crossAx val="107844352"/>
        <c:crosses val="autoZero"/>
        <c:crossBetween val="midCat"/>
      </c:valAx>
    </c:plotArea>
    <c:legend>
      <c:legendPos val="l"/>
      <c:layout>
        <c:manualLayout>
          <c:xMode val="edge"/>
          <c:yMode val="edge"/>
          <c:x val="0.16388899387576553"/>
          <c:y val="0.62996355313405727"/>
          <c:w val="0.48012113870381584"/>
          <c:h val="0.14390814892214301"/>
        </c:manualLayout>
      </c:layout>
      <c:overlay val="1"/>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0530183727035"/>
          <c:y val="4.4881640979711659E-2"/>
          <c:w val="0.79615692038495189"/>
          <c:h val="0.75760371185829256"/>
        </c:manualLayout>
      </c:layout>
      <c:scatterChart>
        <c:scatterStyle val="lineMarker"/>
        <c:varyColors val="0"/>
        <c:ser>
          <c:idx val="0"/>
          <c:order val="0"/>
          <c:tx>
            <c:strRef>
              <c:f>'Multi-Door Test-Nulled'!$A$3:$F$3</c:f>
              <c:strCache>
                <c:ptCount val="1"/>
                <c:pt idx="0">
                  <c:v>Unit 6700-Guarded</c:v>
                </c:pt>
              </c:strCache>
            </c:strRef>
          </c:tx>
          <c:spPr>
            <a:ln w="28575">
              <a:noFill/>
            </a:ln>
          </c:spPr>
          <c:trendline>
            <c:spPr>
              <a:ln w="25400">
                <a:solidFill>
                  <a:schemeClr val="tx2">
                    <a:lumMod val="60000"/>
                    <a:lumOff val="40000"/>
                  </a:schemeClr>
                </a:solidFill>
                <a:prstDash val="sysDash"/>
              </a:ln>
            </c:spPr>
            <c:trendlineType val="power"/>
            <c:forward val="10"/>
            <c:backward val="10"/>
            <c:dispRSqr val="1"/>
            <c:dispEq val="1"/>
            <c:trendlineLbl>
              <c:layout>
                <c:manualLayout>
                  <c:x val="-0.3335231496062992"/>
                  <c:y val="0.16831137813934396"/>
                </c:manualLayout>
              </c:layout>
              <c:numFmt formatCode="General" sourceLinked="0"/>
              <c:txPr>
                <a:bodyPr/>
                <a:lstStyle/>
                <a:p>
                  <a:pPr>
                    <a:defRPr b="1">
                      <a:solidFill>
                        <a:schemeClr val="tx2">
                          <a:lumMod val="60000"/>
                          <a:lumOff val="40000"/>
                        </a:schemeClr>
                      </a:solidFill>
                    </a:defRPr>
                  </a:pPr>
                  <a:endParaRPr lang="en-US"/>
                </a:p>
              </c:txPr>
            </c:trendlineLbl>
          </c:trendline>
          <c:xVal>
            <c:numRef>
              <c:f>'Multi-Door Test-Nulled'!$D$5:$D$9</c:f>
              <c:numCache>
                <c:formatCode>0.0</c:formatCode>
                <c:ptCount val="5"/>
                <c:pt idx="0">
                  <c:v>52.769999999999996</c:v>
                </c:pt>
                <c:pt idx="1">
                  <c:v>43.66</c:v>
                </c:pt>
                <c:pt idx="2">
                  <c:v>44.519999999999996</c:v>
                </c:pt>
                <c:pt idx="3">
                  <c:v>33.44</c:v>
                </c:pt>
                <c:pt idx="4">
                  <c:v>27.61</c:v>
                </c:pt>
              </c:numCache>
            </c:numRef>
          </c:xVal>
          <c:yVal>
            <c:numRef>
              <c:f>'Multi-Door Test-Nulled'!$E$5:$E$9</c:f>
              <c:numCache>
                <c:formatCode>0</c:formatCode>
                <c:ptCount val="5"/>
                <c:pt idx="0">
                  <c:v>975.7</c:v>
                </c:pt>
                <c:pt idx="1">
                  <c:v>864.4</c:v>
                </c:pt>
                <c:pt idx="2">
                  <c:v>869.6</c:v>
                </c:pt>
                <c:pt idx="3">
                  <c:v>705.6</c:v>
                </c:pt>
                <c:pt idx="4">
                  <c:v>573.1</c:v>
                </c:pt>
              </c:numCache>
            </c:numRef>
          </c:yVal>
          <c:smooth val="0"/>
        </c:ser>
        <c:ser>
          <c:idx val="1"/>
          <c:order val="1"/>
          <c:tx>
            <c:strRef>
              <c:f>'Multi-Door Test-Not Nulled'!$C$6</c:f>
              <c:strCache>
                <c:ptCount val="1"/>
                <c:pt idx="0">
                  <c:v>Unit 6700-Unguarded</c:v>
                </c:pt>
              </c:strCache>
            </c:strRef>
          </c:tx>
          <c:spPr>
            <a:ln w="25400">
              <a:solidFill>
                <a:schemeClr val="accent2"/>
              </a:solidFill>
              <a:prstDash val="sysDash"/>
            </a:ln>
          </c:spPr>
          <c:xVal>
            <c:numRef>
              <c:f>'Multi-Door Test-Not Nulled'!$B$11:$B$12</c:f>
              <c:numCache>
                <c:formatCode>0.0</c:formatCode>
                <c:ptCount val="2"/>
                <c:pt idx="0">
                  <c:v>49.040000000000006</c:v>
                </c:pt>
                <c:pt idx="1">
                  <c:v>40.800000000000004</c:v>
                </c:pt>
              </c:numCache>
            </c:numRef>
          </c:xVal>
          <c:yVal>
            <c:numRef>
              <c:f>'Multi-Door Test-Not Nulled'!$C$11:$C$12</c:f>
              <c:numCache>
                <c:formatCode>0</c:formatCode>
                <c:ptCount val="2"/>
                <c:pt idx="0">
                  <c:v>1071.3</c:v>
                </c:pt>
                <c:pt idx="1">
                  <c:v>949.8</c:v>
                </c:pt>
              </c:numCache>
            </c:numRef>
          </c:yVal>
          <c:smooth val="0"/>
        </c:ser>
        <c:dLbls>
          <c:showLegendKey val="0"/>
          <c:showVal val="0"/>
          <c:showCatName val="0"/>
          <c:showSerName val="0"/>
          <c:showPercent val="0"/>
          <c:showBubbleSize val="0"/>
        </c:dLbls>
        <c:axId val="107881216"/>
        <c:axId val="107883136"/>
      </c:scatterChart>
      <c:valAx>
        <c:axId val="107881216"/>
        <c:scaling>
          <c:orientation val="minMax"/>
        </c:scaling>
        <c:delete val="0"/>
        <c:axPos val="b"/>
        <c:title>
          <c:tx>
            <c:rich>
              <a:bodyPr/>
              <a:lstStyle/>
              <a:p>
                <a:pPr>
                  <a:defRPr/>
                </a:pPr>
                <a:r>
                  <a:rPr lang="en-US"/>
                  <a:t>Pressure</a:t>
                </a:r>
                <a:r>
                  <a:rPr lang="en-US" baseline="0"/>
                  <a:t> (Pa)</a:t>
                </a:r>
              </a:p>
            </c:rich>
          </c:tx>
          <c:layout/>
          <c:overlay val="0"/>
        </c:title>
        <c:numFmt formatCode="0" sourceLinked="0"/>
        <c:majorTickMark val="out"/>
        <c:minorTickMark val="none"/>
        <c:tickLblPos val="nextTo"/>
        <c:crossAx val="107883136"/>
        <c:crosses val="autoZero"/>
        <c:crossBetween val="midCat"/>
      </c:valAx>
      <c:valAx>
        <c:axId val="107883136"/>
        <c:scaling>
          <c:orientation val="minMax"/>
          <c:max val="1600"/>
          <c:min val="0"/>
        </c:scaling>
        <c:delete val="0"/>
        <c:axPos val="l"/>
        <c:majorGridlines/>
        <c:title>
          <c:tx>
            <c:rich>
              <a:bodyPr rot="-5400000" vert="horz"/>
              <a:lstStyle/>
              <a:p>
                <a:pPr>
                  <a:defRPr/>
                </a:pPr>
                <a:r>
                  <a:rPr lang="en-US"/>
                  <a:t>Airflow (CFM)</a:t>
                </a:r>
              </a:p>
            </c:rich>
          </c:tx>
          <c:layout/>
          <c:overlay val="0"/>
        </c:title>
        <c:numFmt formatCode="0" sourceLinked="1"/>
        <c:majorTickMark val="out"/>
        <c:minorTickMark val="none"/>
        <c:tickLblPos val="nextTo"/>
        <c:crossAx val="107881216"/>
        <c:crosses val="autoZero"/>
        <c:crossBetween val="midCat"/>
      </c:valAx>
    </c:plotArea>
    <c:legend>
      <c:legendPos val="l"/>
      <c:layout>
        <c:manualLayout>
          <c:xMode val="edge"/>
          <c:yMode val="edge"/>
          <c:x val="0.38788899387576553"/>
          <c:y val="0.59204886119092937"/>
          <c:w val="0.5654545581802275"/>
          <c:h val="0.20709930216068964"/>
        </c:manualLayout>
      </c:layout>
      <c:overlay val="1"/>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0530183727035"/>
          <c:y val="4.4881640979711659E-2"/>
          <c:w val="0.79615692038495189"/>
          <c:h val="0.75760371185829256"/>
        </c:manualLayout>
      </c:layout>
      <c:scatterChart>
        <c:scatterStyle val="lineMarker"/>
        <c:varyColors val="0"/>
        <c:ser>
          <c:idx val="0"/>
          <c:order val="0"/>
          <c:tx>
            <c:strRef>
              <c:f>'Multi-Door Test-Nulled'!$G$3:$L$3</c:f>
              <c:strCache>
                <c:ptCount val="1"/>
                <c:pt idx="0">
                  <c:v>Unit 6702-Guarded</c:v>
                </c:pt>
              </c:strCache>
            </c:strRef>
          </c:tx>
          <c:spPr>
            <a:ln w="28575">
              <a:noFill/>
            </a:ln>
          </c:spPr>
          <c:trendline>
            <c:spPr>
              <a:ln w="25400">
                <a:solidFill>
                  <a:schemeClr val="tx2">
                    <a:lumMod val="60000"/>
                    <a:lumOff val="40000"/>
                  </a:schemeClr>
                </a:solidFill>
                <a:prstDash val="sysDash"/>
              </a:ln>
            </c:spPr>
            <c:trendlineType val="power"/>
            <c:forward val="10"/>
            <c:backward val="10"/>
            <c:dispRSqr val="1"/>
            <c:dispEq val="1"/>
            <c:trendlineLbl>
              <c:layout>
                <c:manualLayout>
                  <c:x val="-0.3335231496062992"/>
                  <c:y val="0.16831137813934396"/>
                </c:manualLayout>
              </c:layout>
              <c:numFmt formatCode="General" sourceLinked="0"/>
              <c:txPr>
                <a:bodyPr/>
                <a:lstStyle/>
                <a:p>
                  <a:pPr>
                    <a:defRPr b="1">
                      <a:solidFill>
                        <a:schemeClr val="tx2">
                          <a:lumMod val="60000"/>
                          <a:lumOff val="40000"/>
                        </a:schemeClr>
                      </a:solidFill>
                    </a:defRPr>
                  </a:pPr>
                  <a:endParaRPr lang="en-US"/>
                </a:p>
              </c:txPr>
            </c:trendlineLbl>
          </c:trendline>
          <c:xVal>
            <c:numRef>
              <c:f>'Multi-Door Test-Nulled'!$J$5:$J$9</c:f>
              <c:numCache>
                <c:formatCode>0.0</c:formatCode>
                <c:ptCount val="5"/>
                <c:pt idx="0">
                  <c:v>55.765000000000001</c:v>
                </c:pt>
                <c:pt idx="1">
                  <c:v>45.155000000000001</c:v>
                </c:pt>
                <c:pt idx="2">
                  <c:v>47.144999999999996</c:v>
                </c:pt>
                <c:pt idx="3">
                  <c:v>35.034999999999997</c:v>
                </c:pt>
                <c:pt idx="4">
                  <c:v>27.375</c:v>
                </c:pt>
              </c:numCache>
            </c:numRef>
          </c:xVal>
          <c:yVal>
            <c:numRef>
              <c:f>'Multi-Door Test-Nulled'!$K$5:$K$9</c:f>
              <c:numCache>
                <c:formatCode>0</c:formatCode>
                <c:ptCount val="5"/>
                <c:pt idx="0">
                  <c:v>1151.3</c:v>
                </c:pt>
                <c:pt idx="1">
                  <c:v>976.8</c:v>
                </c:pt>
                <c:pt idx="2">
                  <c:v>1007.8</c:v>
                </c:pt>
                <c:pt idx="3">
                  <c:v>789.8</c:v>
                </c:pt>
                <c:pt idx="4">
                  <c:v>640.4</c:v>
                </c:pt>
              </c:numCache>
            </c:numRef>
          </c:yVal>
          <c:smooth val="0"/>
        </c:ser>
        <c:ser>
          <c:idx val="1"/>
          <c:order val="1"/>
          <c:tx>
            <c:strRef>
              <c:f>'Multi-Door Test-Not Nulled'!$C$19</c:f>
              <c:strCache>
                <c:ptCount val="1"/>
                <c:pt idx="0">
                  <c:v>Unit 6702-Unguarded</c:v>
                </c:pt>
              </c:strCache>
            </c:strRef>
          </c:tx>
          <c:spPr>
            <a:ln w="25400">
              <a:solidFill>
                <a:schemeClr val="accent2"/>
              </a:solidFill>
              <a:prstDash val="sysDash"/>
            </a:ln>
          </c:spPr>
          <c:xVal>
            <c:numRef>
              <c:f>'Multi-Door Test-Not Nulled'!$B$24:$B$25</c:f>
              <c:numCache>
                <c:formatCode>0.0</c:formatCode>
                <c:ptCount val="2"/>
                <c:pt idx="0">
                  <c:v>50.150000000000006</c:v>
                </c:pt>
                <c:pt idx="1">
                  <c:v>40</c:v>
                </c:pt>
              </c:numCache>
            </c:numRef>
          </c:xVal>
          <c:yVal>
            <c:numRef>
              <c:f>'Multi-Door Test-Not Nulled'!$C$24:$C$25</c:f>
              <c:numCache>
                <c:formatCode>0</c:formatCode>
                <c:ptCount val="2"/>
                <c:pt idx="0">
                  <c:v>1331.7</c:v>
                </c:pt>
                <c:pt idx="1">
                  <c:v>1136.7</c:v>
                </c:pt>
              </c:numCache>
            </c:numRef>
          </c:yVal>
          <c:smooth val="0"/>
        </c:ser>
        <c:dLbls>
          <c:showLegendKey val="0"/>
          <c:showVal val="0"/>
          <c:showCatName val="0"/>
          <c:showSerName val="0"/>
          <c:showPercent val="0"/>
          <c:showBubbleSize val="0"/>
        </c:dLbls>
        <c:axId val="107897216"/>
        <c:axId val="107899136"/>
      </c:scatterChart>
      <c:valAx>
        <c:axId val="107897216"/>
        <c:scaling>
          <c:orientation val="minMax"/>
        </c:scaling>
        <c:delete val="0"/>
        <c:axPos val="b"/>
        <c:title>
          <c:tx>
            <c:rich>
              <a:bodyPr/>
              <a:lstStyle/>
              <a:p>
                <a:pPr>
                  <a:defRPr/>
                </a:pPr>
                <a:r>
                  <a:rPr lang="en-US"/>
                  <a:t>Pressure</a:t>
                </a:r>
                <a:r>
                  <a:rPr lang="en-US" baseline="0"/>
                  <a:t> (Pa)</a:t>
                </a:r>
              </a:p>
            </c:rich>
          </c:tx>
          <c:layout/>
          <c:overlay val="0"/>
        </c:title>
        <c:numFmt formatCode="0" sourceLinked="0"/>
        <c:majorTickMark val="out"/>
        <c:minorTickMark val="none"/>
        <c:tickLblPos val="nextTo"/>
        <c:crossAx val="107899136"/>
        <c:crosses val="autoZero"/>
        <c:crossBetween val="midCat"/>
      </c:valAx>
      <c:valAx>
        <c:axId val="107899136"/>
        <c:scaling>
          <c:orientation val="minMax"/>
          <c:max val="1600"/>
          <c:min val="0"/>
        </c:scaling>
        <c:delete val="0"/>
        <c:axPos val="l"/>
        <c:majorGridlines/>
        <c:title>
          <c:tx>
            <c:rich>
              <a:bodyPr rot="-5400000" vert="horz"/>
              <a:lstStyle/>
              <a:p>
                <a:pPr>
                  <a:defRPr/>
                </a:pPr>
                <a:r>
                  <a:rPr lang="en-US"/>
                  <a:t>Airflow (CFM)</a:t>
                </a:r>
              </a:p>
            </c:rich>
          </c:tx>
          <c:layout/>
          <c:overlay val="0"/>
        </c:title>
        <c:numFmt formatCode="0" sourceLinked="1"/>
        <c:majorTickMark val="out"/>
        <c:minorTickMark val="none"/>
        <c:tickLblPos val="nextTo"/>
        <c:crossAx val="107897216"/>
        <c:crosses val="autoZero"/>
        <c:crossBetween val="midCat"/>
      </c:valAx>
    </c:plotArea>
    <c:legend>
      <c:legendPos val="l"/>
      <c:layout>
        <c:manualLayout>
          <c:xMode val="edge"/>
          <c:yMode val="edge"/>
          <c:x val="0.38788899387576553"/>
          <c:y val="0.59204886119092937"/>
          <c:w val="0.5654545581802275"/>
          <c:h val="0.20709930216068964"/>
        </c:manualLayout>
      </c:layout>
      <c:overlay val="1"/>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0530183727035"/>
          <c:y val="4.4881640979711659E-2"/>
          <c:w val="0.79615692038495189"/>
          <c:h val="0.75760371185829256"/>
        </c:manualLayout>
      </c:layout>
      <c:scatterChart>
        <c:scatterStyle val="lineMarker"/>
        <c:varyColors val="0"/>
        <c:ser>
          <c:idx val="0"/>
          <c:order val="0"/>
          <c:tx>
            <c:strRef>
              <c:f>'Multi-Door Test-Nulled'!$M$3:$R$3</c:f>
              <c:strCache>
                <c:ptCount val="1"/>
                <c:pt idx="0">
                  <c:v>Unit 6704-Guarded</c:v>
                </c:pt>
              </c:strCache>
            </c:strRef>
          </c:tx>
          <c:spPr>
            <a:ln w="28575">
              <a:noFill/>
            </a:ln>
          </c:spPr>
          <c:trendline>
            <c:spPr>
              <a:ln w="25400">
                <a:solidFill>
                  <a:schemeClr val="tx2">
                    <a:lumMod val="60000"/>
                    <a:lumOff val="40000"/>
                  </a:schemeClr>
                </a:solidFill>
                <a:prstDash val="sysDash"/>
              </a:ln>
            </c:spPr>
            <c:trendlineType val="power"/>
            <c:forward val="10"/>
            <c:backward val="10"/>
            <c:dispRSqr val="1"/>
            <c:dispEq val="1"/>
            <c:trendlineLbl>
              <c:layout>
                <c:manualLayout>
                  <c:x val="-0.3335231496062992"/>
                  <c:y val="0.16831137813934396"/>
                </c:manualLayout>
              </c:layout>
              <c:numFmt formatCode="General" sourceLinked="0"/>
              <c:txPr>
                <a:bodyPr/>
                <a:lstStyle/>
                <a:p>
                  <a:pPr>
                    <a:defRPr b="1">
                      <a:solidFill>
                        <a:schemeClr val="tx2">
                          <a:lumMod val="60000"/>
                          <a:lumOff val="40000"/>
                        </a:schemeClr>
                      </a:solidFill>
                    </a:defRPr>
                  </a:pPr>
                  <a:endParaRPr lang="en-US"/>
                </a:p>
              </c:txPr>
            </c:trendlineLbl>
          </c:trendline>
          <c:xVal>
            <c:numRef>
              <c:f>'Multi-Door Test-Nulled'!$P$5:$P$9</c:f>
              <c:numCache>
                <c:formatCode>0.0</c:formatCode>
                <c:ptCount val="5"/>
                <c:pt idx="0">
                  <c:v>55.87</c:v>
                </c:pt>
                <c:pt idx="1">
                  <c:v>45.59</c:v>
                </c:pt>
                <c:pt idx="2">
                  <c:v>44.97</c:v>
                </c:pt>
                <c:pt idx="3">
                  <c:v>36.090000000000003</c:v>
                </c:pt>
                <c:pt idx="4">
                  <c:v>25.92</c:v>
                </c:pt>
              </c:numCache>
            </c:numRef>
          </c:xVal>
          <c:yVal>
            <c:numRef>
              <c:f>'Multi-Door Test-Nulled'!$Q$5:$Q$9</c:f>
              <c:numCache>
                <c:formatCode>0</c:formatCode>
                <c:ptCount val="5"/>
                <c:pt idx="0">
                  <c:v>1098.7</c:v>
                </c:pt>
                <c:pt idx="1">
                  <c:v>945.5</c:v>
                </c:pt>
                <c:pt idx="2">
                  <c:v>894.8</c:v>
                </c:pt>
                <c:pt idx="3">
                  <c:v>799.9</c:v>
                </c:pt>
                <c:pt idx="4">
                  <c:v>596</c:v>
                </c:pt>
              </c:numCache>
            </c:numRef>
          </c:yVal>
          <c:smooth val="0"/>
        </c:ser>
        <c:ser>
          <c:idx val="1"/>
          <c:order val="1"/>
          <c:tx>
            <c:strRef>
              <c:f>'Multi-Door Test-Not Nulled'!$C$32</c:f>
              <c:strCache>
                <c:ptCount val="1"/>
                <c:pt idx="0">
                  <c:v>Unit 6704-Unguarded</c:v>
                </c:pt>
              </c:strCache>
            </c:strRef>
          </c:tx>
          <c:spPr>
            <a:ln w="25400">
              <a:solidFill>
                <a:schemeClr val="accent2"/>
              </a:solidFill>
              <a:prstDash val="sysDash"/>
            </a:ln>
          </c:spPr>
          <c:xVal>
            <c:numRef>
              <c:f>'Multi-Door Test-Not Nulled'!$B$37:$B$38</c:f>
              <c:numCache>
                <c:formatCode>0.0</c:formatCode>
                <c:ptCount val="2"/>
                <c:pt idx="0">
                  <c:v>49.56</c:v>
                </c:pt>
                <c:pt idx="1">
                  <c:v>40.800000000000004</c:v>
                </c:pt>
              </c:numCache>
            </c:numRef>
          </c:xVal>
          <c:yVal>
            <c:numRef>
              <c:f>'Multi-Door Test-Not Nulled'!$C$37:$C$38</c:f>
              <c:numCache>
                <c:formatCode>0</c:formatCode>
                <c:ptCount val="2"/>
                <c:pt idx="0">
                  <c:v>1247.9000000000001</c:v>
                </c:pt>
                <c:pt idx="1">
                  <c:v>1115</c:v>
                </c:pt>
              </c:numCache>
            </c:numRef>
          </c:yVal>
          <c:smooth val="0"/>
        </c:ser>
        <c:dLbls>
          <c:showLegendKey val="0"/>
          <c:showVal val="0"/>
          <c:showCatName val="0"/>
          <c:showSerName val="0"/>
          <c:showPercent val="0"/>
          <c:showBubbleSize val="0"/>
        </c:dLbls>
        <c:axId val="107933696"/>
        <c:axId val="107935616"/>
      </c:scatterChart>
      <c:valAx>
        <c:axId val="107933696"/>
        <c:scaling>
          <c:orientation val="minMax"/>
        </c:scaling>
        <c:delete val="0"/>
        <c:axPos val="b"/>
        <c:title>
          <c:tx>
            <c:rich>
              <a:bodyPr/>
              <a:lstStyle/>
              <a:p>
                <a:pPr>
                  <a:defRPr/>
                </a:pPr>
                <a:r>
                  <a:rPr lang="en-US"/>
                  <a:t>Pressure</a:t>
                </a:r>
                <a:r>
                  <a:rPr lang="en-US" baseline="0"/>
                  <a:t> (Pa)</a:t>
                </a:r>
              </a:p>
            </c:rich>
          </c:tx>
          <c:layout/>
          <c:overlay val="0"/>
        </c:title>
        <c:numFmt formatCode="0" sourceLinked="0"/>
        <c:majorTickMark val="out"/>
        <c:minorTickMark val="none"/>
        <c:tickLblPos val="nextTo"/>
        <c:crossAx val="107935616"/>
        <c:crosses val="autoZero"/>
        <c:crossBetween val="midCat"/>
      </c:valAx>
      <c:valAx>
        <c:axId val="107935616"/>
        <c:scaling>
          <c:orientation val="minMax"/>
          <c:max val="1600"/>
          <c:min val="0"/>
        </c:scaling>
        <c:delete val="0"/>
        <c:axPos val="l"/>
        <c:majorGridlines/>
        <c:title>
          <c:tx>
            <c:rich>
              <a:bodyPr rot="-5400000" vert="horz"/>
              <a:lstStyle/>
              <a:p>
                <a:pPr>
                  <a:defRPr/>
                </a:pPr>
                <a:r>
                  <a:rPr lang="en-US"/>
                  <a:t>Airflow (CFM)</a:t>
                </a:r>
              </a:p>
            </c:rich>
          </c:tx>
          <c:layout/>
          <c:overlay val="0"/>
        </c:title>
        <c:numFmt formatCode="0" sourceLinked="1"/>
        <c:majorTickMark val="out"/>
        <c:minorTickMark val="none"/>
        <c:tickLblPos val="nextTo"/>
        <c:crossAx val="107933696"/>
        <c:crosses val="autoZero"/>
        <c:crossBetween val="midCat"/>
      </c:valAx>
    </c:plotArea>
    <c:legend>
      <c:legendPos val="l"/>
      <c:layout>
        <c:manualLayout>
          <c:xMode val="edge"/>
          <c:yMode val="edge"/>
          <c:x val="0.38788899387576553"/>
          <c:y val="0.59204886119092937"/>
          <c:w val="0.5654545581802275"/>
          <c:h val="0.20709930216068964"/>
        </c:manualLayout>
      </c:layout>
      <c:overlay val="1"/>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0530183727035"/>
          <c:y val="4.4881640979711659E-2"/>
          <c:w val="0.79615692038495189"/>
          <c:h val="0.75760371185829256"/>
        </c:manualLayout>
      </c:layout>
      <c:scatterChart>
        <c:scatterStyle val="lineMarker"/>
        <c:varyColors val="0"/>
        <c:ser>
          <c:idx val="0"/>
          <c:order val="0"/>
          <c:tx>
            <c:strRef>
              <c:f>'Multi-Door Test-Nulled'!$S$3:$X$3</c:f>
              <c:strCache>
                <c:ptCount val="1"/>
                <c:pt idx="0">
                  <c:v>Unit 6706-Guarded</c:v>
                </c:pt>
              </c:strCache>
            </c:strRef>
          </c:tx>
          <c:spPr>
            <a:ln w="28575">
              <a:noFill/>
            </a:ln>
          </c:spPr>
          <c:trendline>
            <c:spPr>
              <a:ln w="25400">
                <a:solidFill>
                  <a:schemeClr val="tx2">
                    <a:lumMod val="60000"/>
                    <a:lumOff val="40000"/>
                  </a:schemeClr>
                </a:solidFill>
                <a:prstDash val="sysDash"/>
              </a:ln>
            </c:spPr>
            <c:trendlineType val="power"/>
            <c:forward val="10"/>
            <c:backward val="10"/>
            <c:dispRSqr val="1"/>
            <c:dispEq val="1"/>
            <c:trendlineLbl>
              <c:layout>
                <c:manualLayout>
                  <c:x val="-0.3335231496062992"/>
                  <c:y val="0.16831137813934396"/>
                </c:manualLayout>
              </c:layout>
              <c:numFmt formatCode="General" sourceLinked="0"/>
              <c:txPr>
                <a:bodyPr/>
                <a:lstStyle/>
                <a:p>
                  <a:pPr>
                    <a:defRPr b="1">
                      <a:solidFill>
                        <a:schemeClr val="tx2">
                          <a:lumMod val="60000"/>
                          <a:lumOff val="40000"/>
                        </a:schemeClr>
                      </a:solidFill>
                    </a:defRPr>
                  </a:pPr>
                  <a:endParaRPr lang="en-US"/>
                </a:p>
              </c:txPr>
            </c:trendlineLbl>
          </c:trendline>
          <c:xVal>
            <c:numRef>
              <c:f>'Multi-Door Test-Nulled'!$V$5:$V$9</c:f>
              <c:numCache>
                <c:formatCode>0.0</c:formatCode>
                <c:ptCount val="5"/>
                <c:pt idx="0">
                  <c:v>56.739999999999995</c:v>
                </c:pt>
                <c:pt idx="1">
                  <c:v>46.47</c:v>
                </c:pt>
                <c:pt idx="2">
                  <c:v>45.89</c:v>
                </c:pt>
                <c:pt idx="3">
                  <c:v>34.71</c:v>
                </c:pt>
                <c:pt idx="4">
                  <c:v>27.39</c:v>
                </c:pt>
              </c:numCache>
            </c:numRef>
          </c:xVal>
          <c:yVal>
            <c:numRef>
              <c:f>'Multi-Door Test-Nulled'!$W$5:$W$9</c:f>
              <c:numCache>
                <c:formatCode>0</c:formatCode>
                <c:ptCount val="5"/>
                <c:pt idx="0">
                  <c:v>1188.9000000000001</c:v>
                </c:pt>
                <c:pt idx="1">
                  <c:v>1038</c:v>
                </c:pt>
                <c:pt idx="2">
                  <c:v>1005</c:v>
                </c:pt>
                <c:pt idx="3">
                  <c:v>840.6</c:v>
                </c:pt>
                <c:pt idx="4">
                  <c:v>686.3</c:v>
                </c:pt>
              </c:numCache>
            </c:numRef>
          </c:yVal>
          <c:smooth val="0"/>
        </c:ser>
        <c:ser>
          <c:idx val="1"/>
          <c:order val="1"/>
          <c:tx>
            <c:strRef>
              <c:f>'Multi-Door Test-Not Nulled'!$C$45</c:f>
              <c:strCache>
                <c:ptCount val="1"/>
                <c:pt idx="0">
                  <c:v>Unit 6706-Unguarded</c:v>
                </c:pt>
              </c:strCache>
            </c:strRef>
          </c:tx>
          <c:spPr>
            <a:ln w="25400">
              <a:solidFill>
                <a:schemeClr val="accent2"/>
              </a:solidFill>
              <a:prstDash val="sysDash"/>
            </a:ln>
          </c:spPr>
          <c:xVal>
            <c:numRef>
              <c:f>'Multi-Door Test-Not Nulled'!$B$50:$B$51</c:f>
              <c:numCache>
                <c:formatCode>0.0</c:formatCode>
                <c:ptCount val="2"/>
                <c:pt idx="0">
                  <c:v>53.82</c:v>
                </c:pt>
                <c:pt idx="1">
                  <c:v>44.06</c:v>
                </c:pt>
              </c:numCache>
            </c:numRef>
          </c:xVal>
          <c:yVal>
            <c:numRef>
              <c:f>'Multi-Door Test-Not Nulled'!$C$50:$C$51</c:f>
              <c:numCache>
                <c:formatCode>0</c:formatCode>
                <c:ptCount val="2"/>
                <c:pt idx="0">
                  <c:v>1353.4</c:v>
                </c:pt>
                <c:pt idx="1">
                  <c:v>1181.9000000000001</c:v>
                </c:pt>
              </c:numCache>
            </c:numRef>
          </c:yVal>
          <c:smooth val="0"/>
        </c:ser>
        <c:dLbls>
          <c:showLegendKey val="0"/>
          <c:showVal val="0"/>
          <c:showCatName val="0"/>
          <c:showSerName val="0"/>
          <c:showPercent val="0"/>
          <c:showBubbleSize val="0"/>
        </c:dLbls>
        <c:axId val="108014976"/>
        <c:axId val="108021248"/>
      </c:scatterChart>
      <c:valAx>
        <c:axId val="108014976"/>
        <c:scaling>
          <c:orientation val="minMax"/>
        </c:scaling>
        <c:delete val="0"/>
        <c:axPos val="b"/>
        <c:title>
          <c:tx>
            <c:rich>
              <a:bodyPr/>
              <a:lstStyle/>
              <a:p>
                <a:pPr>
                  <a:defRPr/>
                </a:pPr>
                <a:r>
                  <a:rPr lang="en-US"/>
                  <a:t>Pressure</a:t>
                </a:r>
                <a:r>
                  <a:rPr lang="en-US" baseline="0"/>
                  <a:t> (Pa)</a:t>
                </a:r>
              </a:p>
            </c:rich>
          </c:tx>
          <c:layout/>
          <c:overlay val="0"/>
        </c:title>
        <c:numFmt formatCode="0" sourceLinked="0"/>
        <c:majorTickMark val="out"/>
        <c:minorTickMark val="none"/>
        <c:tickLblPos val="nextTo"/>
        <c:crossAx val="108021248"/>
        <c:crosses val="autoZero"/>
        <c:crossBetween val="midCat"/>
      </c:valAx>
      <c:valAx>
        <c:axId val="108021248"/>
        <c:scaling>
          <c:orientation val="minMax"/>
          <c:max val="1600"/>
          <c:min val="0"/>
        </c:scaling>
        <c:delete val="0"/>
        <c:axPos val="l"/>
        <c:majorGridlines/>
        <c:title>
          <c:tx>
            <c:rich>
              <a:bodyPr rot="-5400000" vert="horz"/>
              <a:lstStyle/>
              <a:p>
                <a:pPr>
                  <a:defRPr/>
                </a:pPr>
                <a:r>
                  <a:rPr lang="en-US"/>
                  <a:t>Airflow (CFM)</a:t>
                </a:r>
              </a:p>
            </c:rich>
          </c:tx>
          <c:layout/>
          <c:overlay val="0"/>
        </c:title>
        <c:numFmt formatCode="0" sourceLinked="1"/>
        <c:majorTickMark val="out"/>
        <c:minorTickMark val="none"/>
        <c:tickLblPos val="nextTo"/>
        <c:crossAx val="108014976"/>
        <c:crosses val="autoZero"/>
        <c:crossBetween val="midCat"/>
      </c:valAx>
    </c:plotArea>
    <c:legend>
      <c:legendPos val="l"/>
      <c:layout>
        <c:manualLayout>
          <c:xMode val="edge"/>
          <c:yMode val="edge"/>
          <c:x val="0.38788899387576553"/>
          <c:y val="0.59204886119092937"/>
          <c:w val="0.5654545581802275"/>
          <c:h val="0.20709930216068964"/>
        </c:manualLayout>
      </c:layout>
      <c:overlay val="1"/>
    </c:legend>
    <c:plotVisOnly val="1"/>
    <c:dispBlanksAs val="gap"/>
    <c:showDLblsOverMax val="0"/>
  </c:chart>
  <c:spPr>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13</xdr:col>
      <xdr:colOff>152401</xdr:colOff>
      <xdr:row>3</xdr:row>
      <xdr:rowOff>152400</xdr:rowOff>
    </xdr:from>
    <xdr:to>
      <xdr:col>19</xdr:col>
      <xdr:colOff>704851</xdr:colOff>
      <xdr:row>47</xdr:row>
      <xdr:rowOff>171450</xdr:rowOff>
    </xdr:to>
    <xdr:sp macro="" textlink="">
      <xdr:nvSpPr>
        <xdr:cNvPr id="2" name="TextBox 1"/>
        <xdr:cNvSpPr txBox="1"/>
      </xdr:nvSpPr>
      <xdr:spPr>
        <a:xfrm>
          <a:off x="9782176" y="752475"/>
          <a:ext cx="4838700" cy="840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Dane Kelly at 240-508-3271</a:t>
          </a:r>
        </a:p>
        <a:p>
          <a:r>
            <a:rPr lang="en-US" sz="1100"/>
            <a:t>Tim Brickey at 240-375-4327</a:t>
          </a:r>
        </a:p>
        <a:p>
          <a:endParaRPr lang="en-US" sz="1100"/>
        </a:p>
        <a:p>
          <a:r>
            <a:rPr lang="en-US" sz="1100"/>
            <a:t>Kohta &amp; Joe;</a:t>
          </a:r>
        </a:p>
        <a:p>
          <a:endParaRPr lang="en-US" sz="1100"/>
        </a:p>
        <a:p>
          <a:r>
            <a:rPr lang="en-US" sz="1100"/>
            <a:t>Any equipment that needs to be delivered for your testing can be done so to;</a:t>
          </a:r>
        </a:p>
        <a:p>
          <a:r>
            <a:rPr lang="en-US" sz="1100"/>
            <a:t>6710 Funderburg Drive</a:t>
          </a:r>
        </a:p>
        <a:p>
          <a:r>
            <a:rPr lang="en-US" sz="1100"/>
            <a:t>Capital Heights, Maryland 20743</a:t>
          </a:r>
        </a:p>
        <a:p>
          <a:r>
            <a:rPr lang="en-US" sz="1100"/>
            <a:t>(This is the community Model)</a:t>
          </a:r>
        </a:p>
        <a:p>
          <a:r>
            <a:rPr lang="en-US" sz="1100"/>
            <a:t>Happy New Year Joe!</a:t>
          </a:r>
        </a:p>
        <a:p>
          <a:endParaRPr lang="en-US" sz="1100"/>
        </a:p>
        <a:p>
          <a:r>
            <a:rPr lang="en-US" sz="1100"/>
            <a:t>Our construction manager is projecting the week of 2/10/14.</a:t>
          </a:r>
        </a:p>
        <a:p>
          <a:endParaRPr lang="en-US" sz="1100"/>
        </a:p>
        <a:p>
          <a:r>
            <a:rPr lang="en-US" sz="1100"/>
            <a:t>The week of the 17th works. However we do have a Pre-Settlement Orientation on lot 75 on the 20th at 10am. No one should be in this home at this time.</a:t>
          </a:r>
        </a:p>
        <a:p>
          <a:endParaRPr lang="en-US" sz="1100"/>
        </a:p>
        <a:p>
          <a:r>
            <a:rPr lang="en-US" sz="1100"/>
            <a:t>Masco: Tim McHenry &lt;Tim.McHenry@mascohs.com&gt;</a:t>
          </a:r>
        </a:p>
        <a:p>
          <a:endParaRPr lang="en-US" sz="1100"/>
        </a:p>
        <a:p>
          <a:r>
            <a:rPr lang="en-US" sz="1100"/>
            <a:t>Jim Hoffner</a:t>
          </a:r>
        </a:p>
        <a:p>
          <a:r>
            <a:rPr lang="en-US" sz="1100"/>
            <a:t>Implementation Project Manager</a:t>
          </a:r>
        </a:p>
        <a:p>
          <a:r>
            <a:rPr lang="en-US" sz="1100"/>
            <a:t>K. Hovnanian Companies, LLC</a:t>
          </a:r>
        </a:p>
        <a:p>
          <a:r>
            <a:rPr lang="en-US" sz="1100"/>
            <a:t>Corporate Operations</a:t>
          </a:r>
        </a:p>
        <a:p>
          <a:r>
            <a:rPr lang="en-US" sz="1100"/>
            <a:t>Quality | Home Production | Building Science</a:t>
          </a:r>
        </a:p>
        <a:p>
          <a:r>
            <a:rPr lang="en-US" sz="1100"/>
            <a:t>110 West Front Street, Red Bank, NJ 07701</a:t>
          </a:r>
        </a:p>
        <a:p>
          <a:r>
            <a:rPr lang="en-US" sz="1100"/>
            <a:t>Office 732-383-2637</a:t>
          </a:r>
        </a:p>
        <a:p>
          <a:r>
            <a:rPr lang="en-US" sz="1100"/>
            <a:t>FAX 732-383-2937</a:t>
          </a:r>
        </a:p>
        <a:p>
          <a:r>
            <a:rPr lang="en-US" sz="1100"/>
            <a:t>Mobile 609-313-0058</a:t>
          </a:r>
        </a:p>
        <a:p>
          <a:endParaRPr lang="en-US" sz="1100"/>
        </a:p>
        <a:p>
          <a:r>
            <a:rPr lang="en-US" sz="1100"/>
            <a:t>Pepper Mill</a:t>
          </a:r>
        </a:p>
        <a:p>
          <a:r>
            <a:rPr lang="en-US" sz="1100"/>
            <a:t>K. Hovnanian Homes</a:t>
          </a:r>
        </a:p>
        <a:p>
          <a:r>
            <a:rPr lang="en-US" sz="1100"/>
            <a:t>6710 Funderburg Dr</a:t>
          </a:r>
        </a:p>
        <a:p>
          <a:r>
            <a:rPr lang="en-US" sz="1100"/>
            <a:t>Capitol Heights Md 20743</a:t>
          </a:r>
        </a:p>
        <a:p>
          <a:r>
            <a:rPr lang="en-US" sz="1100"/>
            <a:t>http://www.khov.com/villagesatpeppermill</a:t>
          </a:r>
        </a:p>
        <a:p>
          <a:endParaRPr lang="en-US" sz="1100"/>
        </a:p>
        <a:p>
          <a:r>
            <a:rPr lang="en-US" sz="1100"/>
            <a:t>Transit from Gaithersburg:</a:t>
          </a:r>
        </a:p>
        <a:p>
          <a:endParaRPr lang="en-US" sz="1100"/>
        </a:p>
        <a:p>
          <a:r>
            <a:rPr lang="en-US" sz="1100"/>
            <a:t>Shady Grove Metro Station</a:t>
          </a:r>
        </a:p>
        <a:p>
          <a:r>
            <a:rPr lang="en-US" sz="1100"/>
            <a:t> SubwayRed Subway towards Glenmont</a:t>
          </a:r>
        </a:p>
        <a:p>
          <a:r>
            <a:rPr lang="en-US" sz="1100"/>
            <a:t>4:19pm - 4:55pm (36 mins, 14 stops)</a:t>
          </a:r>
        </a:p>
        <a:p>
          <a:endParaRPr lang="en-US" sz="1100"/>
        </a:p>
        <a:p>
          <a:r>
            <a:rPr lang="en-US" sz="1100"/>
            <a:t>Metro Center Metro Station</a:t>
          </a:r>
        </a:p>
        <a:p>
          <a:endParaRPr lang="en-US" sz="1100"/>
        </a:p>
        <a:p>
          <a:r>
            <a:rPr lang="en-US" sz="1100"/>
            <a:t> SubwayBlue Subway towards Largo Town Ctr</a:t>
          </a:r>
        </a:p>
        <a:p>
          <a:r>
            <a:rPr lang="en-US" sz="1100"/>
            <a:t>5:03pm - 5:23pm (20 mins, 10 stops)</a:t>
          </a:r>
        </a:p>
        <a:p>
          <a:r>
            <a:rPr lang="en-US" sz="1100"/>
            <a:t>Addison Road (?) NOT Capitol Heights Metro Station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55</xdr:row>
      <xdr:rowOff>0</xdr:rowOff>
    </xdr:from>
    <xdr:to>
      <xdr:col>29</xdr:col>
      <xdr:colOff>327906</xdr:colOff>
      <xdr:row>68</xdr:row>
      <xdr:rowOff>168088</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5000" y="10511118"/>
          <a:ext cx="8799553" cy="26445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304801</xdr:colOff>
      <xdr:row>4</xdr:row>
      <xdr:rowOff>47625</xdr:rowOff>
    </xdr:from>
    <xdr:to>
      <xdr:col>15</xdr:col>
      <xdr:colOff>247651</xdr:colOff>
      <xdr:row>21</xdr:row>
      <xdr:rowOff>0</xdr:rowOff>
    </xdr:to>
    <xdr:sp macro="" textlink="">
      <xdr:nvSpPr>
        <xdr:cNvPr id="2" name="TextBox 1"/>
        <xdr:cNvSpPr txBox="1"/>
      </xdr:nvSpPr>
      <xdr:spPr>
        <a:xfrm>
          <a:off x="5133976" y="1381125"/>
          <a:ext cx="4933950" cy="3438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t>From:</a:t>
          </a:r>
          <a:r>
            <a:rPr lang="en-US"/>
            <a:t> Matt Chesnick &lt;</a:t>
          </a:r>
          <a:r>
            <a:rPr lang="en-US">
              <a:hlinkClick xmlns:r="http://schemas.openxmlformats.org/officeDocument/2006/relationships" r:id=""/>
            </a:rPr>
            <a:t>Matt.Chesnick@nationscapitalenergysolutions.com</a:t>
          </a:r>
          <a:r>
            <a:rPr lang="en-US"/>
            <a:t>&gt;</a:t>
          </a:r>
          <a:br>
            <a:rPr lang="en-US"/>
          </a:br>
          <a:r>
            <a:rPr lang="en-US" b="1"/>
            <a:t>Date:</a:t>
          </a:r>
          <a:r>
            <a:rPr lang="en-US"/>
            <a:t> January 14, 2014 at 12:03:34 PM EST</a:t>
          </a:r>
          <a:br>
            <a:rPr lang="en-US"/>
          </a:br>
          <a:r>
            <a:rPr lang="en-US" b="1"/>
            <a:t>To:</a:t>
          </a:r>
          <a:r>
            <a:rPr lang="en-US"/>
            <a:t> Brian Hamilton &lt;Brian.Hamilton</a:t>
          </a:r>
          <a:br>
            <a:rPr lang="en-US"/>
          </a:br>
          <a:r>
            <a:rPr lang="en-US" b="1"/>
            <a:t>Cc:</a:t>
          </a:r>
          <a:r>
            <a:rPr lang="en-US"/>
            <a:t> Brendon Roark &lt;</a:t>
          </a:r>
          <a:r>
            <a:rPr lang="en-US">
              <a:hlinkClick xmlns:r="http://schemas.openxmlformats.org/officeDocument/2006/relationships" r:id=""/>
            </a:rPr>
            <a:t>Brendon.Roark@nationscapitalenergysolutions.com</a:t>
          </a:r>
          <a:r>
            <a:rPr lang="en-US"/>
            <a:t>&gt;</a:t>
          </a:r>
          <a:br>
            <a:rPr lang="en-US"/>
          </a:br>
          <a:r>
            <a:rPr lang="en-US" b="1"/>
            <a:t>Subject:</a:t>
          </a:r>
          <a:r>
            <a:rPr lang="en-US"/>
            <a:t> </a:t>
          </a:r>
          <a:r>
            <a:rPr lang="en-US" b="1"/>
            <a:t>Peppermill B/D Results</a:t>
          </a:r>
          <a:r>
            <a:rPr lang="en-US"/>
            <a:t/>
          </a:r>
          <a:br>
            <a:rPr lang="en-US"/>
          </a:br>
          <a:r>
            <a:rPr lang="en-US"/>
            <a:t/>
          </a:r>
          <a:br>
            <a:rPr lang="en-US"/>
          </a:br>
          <a:r>
            <a:rPr lang="en-US" sz="1100">
              <a:solidFill>
                <a:schemeClr val="dk1"/>
              </a:solidFill>
              <a:effectLst/>
              <a:latin typeface="+mn-lt"/>
              <a:ea typeface="+mn-ea"/>
              <a:cs typeface="+mn-cs"/>
            </a:rPr>
            <a:t>Brian,</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Here are the Blower Door results for the last two buildings. These units are exactly like the ones they will be testing. Let me know if there is anything you need.</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Matt Chesnick</a:t>
          </a:r>
          <a:endParaRPr lang="en-US"/>
        </a:p>
        <a:p>
          <a:r>
            <a:rPr lang="en-US" sz="1100" b="1">
              <a:solidFill>
                <a:schemeClr val="dk1"/>
              </a:solidFill>
              <a:effectLst/>
              <a:latin typeface="+mn-lt"/>
              <a:ea typeface="+mn-ea"/>
              <a:cs typeface="+mn-cs"/>
            </a:rPr>
            <a:t>HERS Rater</a:t>
          </a:r>
          <a:endParaRPr lang="en-US"/>
        </a:p>
        <a:p>
          <a:r>
            <a:rPr lang="en-US" b="1"/>
            <a:t>Nations Capital Energy Solutions</a:t>
          </a:r>
          <a:endParaRPr lang="en-US"/>
        </a:p>
        <a:p>
          <a:r>
            <a:rPr lang="en-US" b="1"/>
            <a:t>4463 Beech Rd</a:t>
          </a:r>
          <a:endParaRPr lang="en-US"/>
        </a:p>
        <a:p>
          <a:r>
            <a:rPr lang="en-US" b="1"/>
            <a:t>Temple Hills MD 20748</a:t>
          </a:r>
          <a:endParaRPr lang="en-US"/>
        </a:p>
        <a:p>
          <a:r>
            <a:rPr lang="en-US" b="1"/>
            <a:t>Cell 301-343-5688</a:t>
          </a:r>
        </a:p>
        <a:p>
          <a:endParaRPr lang="en-US" b="1"/>
        </a:p>
        <a:p>
          <a:r>
            <a:rPr lang="en-US" sz="1100">
              <a:solidFill>
                <a:schemeClr val="dk1"/>
              </a:solidFill>
              <a:effectLst/>
              <a:latin typeface="+mn-lt"/>
              <a:ea typeface="+mn-ea"/>
              <a:cs typeface="+mn-cs"/>
            </a:rPr>
            <a:t>Building 14 and 15 are Identical. Rear load same product.</a:t>
          </a:r>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12</xdr:row>
      <xdr:rowOff>38100</xdr:rowOff>
    </xdr:from>
    <xdr:to>
      <xdr:col>5</xdr:col>
      <xdr:colOff>523875</xdr:colOff>
      <xdr:row>22</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57150</xdr:colOff>
      <xdr:row>12</xdr:row>
      <xdr:rowOff>38100</xdr:rowOff>
    </xdr:from>
    <xdr:to>
      <xdr:col>11</xdr:col>
      <xdr:colOff>581025</xdr:colOff>
      <xdr:row>22</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114300</xdr:colOff>
      <xdr:row>12</xdr:row>
      <xdr:rowOff>38100</xdr:rowOff>
    </xdr:from>
    <xdr:to>
      <xdr:col>18</xdr:col>
      <xdr:colOff>28575</xdr:colOff>
      <xdr:row>22</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114300</xdr:colOff>
      <xdr:row>12</xdr:row>
      <xdr:rowOff>38100</xdr:rowOff>
    </xdr:from>
    <xdr:to>
      <xdr:col>24</xdr:col>
      <xdr:colOff>28575</xdr:colOff>
      <xdr:row>22</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133350</xdr:colOff>
      <xdr:row>12</xdr:row>
      <xdr:rowOff>38100</xdr:rowOff>
    </xdr:from>
    <xdr:to>
      <xdr:col>30</xdr:col>
      <xdr:colOff>47625</xdr:colOff>
      <xdr:row>22</xdr:row>
      <xdr:rowOff>142875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30</xdr:row>
      <xdr:rowOff>19050</xdr:rowOff>
    </xdr:from>
    <xdr:to>
      <xdr:col>5</xdr:col>
      <xdr:colOff>523875</xdr:colOff>
      <xdr:row>40</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xdr:colOff>
      <xdr:row>30</xdr:row>
      <xdr:rowOff>19050</xdr:rowOff>
    </xdr:from>
    <xdr:to>
      <xdr:col>11</xdr:col>
      <xdr:colOff>581025</xdr:colOff>
      <xdr:row>40</xdr:row>
      <xdr:rowOff>123825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114300</xdr:colOff>
      <xdr:row>30</xdr:row>
      <xdr:rowOff>19050</xdr:rowOff>
    </xdr:from>
    <xdr:to>
      <xdr:col>18</xdr:col>
      <xdr:colOff>28575</xdr:colOff>
      <xdr:row>40</xdr:row>
      <xdr:rowOff>123825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114300</xdr:colOff>
      <xdr:row>30</xdr:row>
      <xdr:rowOff>19050</xdr:rowOff>
    </xdr:from>
    <xdr:to>
      <xdr:col>24</xdr:col>
      <xdr:colOff>28575</xdr:colOff>
      <xdr:row>40</xdr:row>
      <xdr:rowOff>123825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133350</xdr:colOff>
      <xdr:row>30</xdr:row>
      <xdr:rowOff>19050</xdr:rowOff>
    </xdr:from>
    <xdr:to>
      <xdr:col>30</xdr:col>
      <xdr:colOff>47625</xdr:colOff>
      <xdr:row>40</xdr:row>
      <xdr:rowOff>123825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428625</xdr:colOff>
      <xdr:row>5</xdr:row>
      <xdr:rowOff>76200</xdr:rowOff>
    </xdr:from>
    <xdr:to>
      <xdr:col>13</xdr:col>
      <xdr:colOff>133350</xdr:colOff>
      <xdr:row>16</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428625</xdr:colOff>
      <xdr:row>18</xdr:row>
      <xdr:rowOff>76200</xdr:rowOff>
    </xdr:from>
    <xdr:to>
      <xdr:col>13</xdr:col>
      <xdr:colOff>133350</xdr:colOff>
      <xdr:row>29</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428625</xdr:colOff>
      <xdr:row>31</xdr:row>
      <xdr:rowOff>76200</xdr:rowOff>
    </xdr:from>
    <xdr:to>
      <xdr:col>13</xdr:col>
      <xdr:colOff>133350</xdr:colOff>
      <xdr:row>42</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428625</xdr:colOff>
      <xdr:row>44</xdr:row>
      <xdr:rowOff>76200</xdr:rowOff>
    </xdr:from>
    <xdr:to>
      <xdr:col>13</xdr:col>
      <xdr:colOff>133350</xdr:colOff>
      <xdr:row>55</xdr:row>
      <xdr:rowOff>123825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428625</xdr:colOff>
      <xdr:row>57</xdr:row>
      <xdr:rowOff>76200</xdr:rowOff>
    </xdr:from>
    <xdr:to>
      <xdr:col>13</xdr:col>
      <xdr:colOff>133350</xdr:colOff>
      <xdr:row>68</xdr:row>
      <xdr:rowOff>123825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214311</xdr:colOff>
      <xdr:row>1</xdr:row>
      <xdr:rowOff>123826</xdr:rowOff>
    </xdr:from>
    <xdr:to>
      <xdr:col>15</xdr:col>
      <xdr:colOff>352424</xdr:colOff>
      <xdr:row>15</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214311</xdr:colOff>
      <xdr:row>1</xdr:row>
      <xdr:rowOff>123825</xdr:rowOff>
    </xdr:from>
    <xdr:to>
      <xdr:col>15</xdr:col>
      <xdr:colOff>352424</xdr:colOff>
      <xdr:row>16</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0"/>
  <sheetViews>
    <sheetView tabSelected="1" workbookViewId="0"/>
  </sheetViews>
  <sheetFormatPr defaultRowHeight="15" x14ac:dyDescent="0.25"/>
  <cols>
    <col min="1" max="1" width="17.5703125" customWidth="1"/>
    <col min="2" max="7" width="12" customWidth="1"/>
    <col min="19" max="19" width="18.5703125" customWidth="1"/>
    <col min="20" max="25" width="11.5703125" customWidth="1"/>
  </cols>
  <sheetData>
    <row r="1" spans="1:10" ht="17.25" x14ac:dyDescent="0.3">
      <c r="A1" s="73" t="s">
        <v>71</v>
      </c>
    </row>
    <row r="4" spans="1:10" x14ac:dyDescent="0.25">
      <c r="A4" s="45" t="s">
        <v>62</v>
      </c>
    </row>
    <row r="5" spans="1:10" x14ac:dyDescent="0.25">
      <c r="A5" s="72" t="s">
        <v>63</v>
      </c>
    </row>
    <row r="6" spans="1:10" x14ac:dyDescent="0.25">
      <c r="A6" s="93" t="s">
        <v>84</v>
      </c>
    </row>
    <row r="7" spans="1:10" x14ac:dyDescent="0.25">
      <c r="A7" s="93" t="s">
        <v>64</v>
      </c>
      <c r="J7" s="71" t="s">
        <v>86</v>
      </c>
    </row>
    <row r="8" spans="1:10" x14ac:dyDescent="0.25">
      <c r="A8" s="48" t="s">
        <v>65</v>
      </c>
      <c r="J8" s="91" t="s">
        <v>73</v>
      </c>
    </row>
    <row r="9" spans="1:10" x14ac:dyDescent="0.25">
      <c r="A9" s="48" t="s">
        <v>66</v>
      </c>
      <c r="J9" s="91" t="s">
        <v>85</v>
      </c>
    </row>
    <row r="10" spans="1:10" x14ac:dyDescent="0.25">
      <c r="A10" s="48" t="s">
        <v>67</v>
      </c>
    </row>
    <row r="11" spans="1:10" x14ac:dyDescent="0.25">
      <c r="A11" s="48" t="s">
        <v>68</v>
      </c>
    </row>
    <row r="12" spans="1:10" x14ac:dyDescent="0.25">
      <c r="A12" s="93" t="s">
        <v>69</v>
      </c>
    </row>
    <row r="13" spans="1:10" x14ac:dyDescent="0.25">
      <c r="A13" s="48" t="s">
        <v>70</v>
      </c>
    </row>
    <row r="14" spans="1:10" x14ac:dyDescent="0.25">
      <c r="A14" s="48" t="s">
        <v>83</v>
      </c>
    </row>
    <row r="15" spans="1:10" x14ac:dyDescent="0.25">
      <c r="A15" s="93" t="s">
        <v>107</v>
      </c>
      <c r="J15" s="71" t="s">
        <v>87</v>
      </c>
    </row>
    <row r="16" spans="1:10" x14ac:dyDescent="0.25">
      <c r="A16" s="93" t="s">
        <v>108</v>
      </c>
      <c r="J16" t="s">
        <v>88</v>
      </c>
    </row>
    <row r="17" spans="1:10" x14ac:dyDescent="0.25">
      <c r="A17" s="93" t="s">
        <v>110</v>
      </c>
      <c r="J17" s="92" t="s">
        <v>89</v>
      </c>
    </row>
    <row r="18" spans="1:10" x14ac:dyDescent="0.25">
      <c r="J18" s="91" t="s">
        <v>92</v>
      </c>
    </row>
    <row r="19" spans="1:10" x14ac:dyDescent="0.25">
      <c r="J19" s="91" t="s">
        <v>90</v>
      </c>
    </row>
    <row r="20" spans="1:10" x14ac:dyDescent="0.25">
      <c r="J20" s="91" t="s">
        <v>91</v>
      </c>
    </row>
    <row r="22" spans="1:10" x14ac:dyDescent="0.25">
      <c r="A22" s="71" t="s">
        <v>79</v>
      </c>
    </row>
    <row r="23" spans="1:10" x14ac:dyDescent="0.25">
      <c r="A23" s="91" t="s">
        <v>80</v>
      </c>
    </row>
    <row r="24" spans="1:10" x14ac:dyDescent="0.25">
      <c r="A24" t="s">
        <v>81</v>
      </c>
    </row>
    <row r="25" spans="1:10" x14ac:dyDescent="0.25">
      <c r="A25" s="91" t="s">
        <v>82</v>
      </c>
    </row>
    <row r="28" spans="1:10" x14ac:dyDescent="0.25">
      <c r="A28" s="71" t="s">
        <v>93</v>
      </c>
    </row>
    <row r="30" spans="1:10" x14ac:dyDescent="0.25">
      <c r="A30" s="89" t="s">
        <v>97</v>
      </c>
      <c r="B30" s="89" t="s">
        <v>94</v>
      </c>
      <c r="C30" s="89" t="s">
        <v>95</v>
      </c>
      <c r="D30" s="89" t="s">
        <v>96</v>
      </c>
      <c r="E30" s="89" t="s">
        <v>113</v>
      </c>
      <c r="F30" s="89" t="s">
        <v>109</v>
      </c>
      <c r="G30" s="89" t="s">
        <v>111</v>
      </c>
    </row>
    <row r="31" spans="1:10" x14ac:dyDescent="0.25">
      <c r="A31" t="s">
        <v>98</v>
      </c>
      <c r="B31" t="s">
        <v>99</v>
      </c>
      <c r="C31" t="s">
        <v>100</v>
      </c>
      <c r="D31" t="s">
        <v>100</v>
      </c>
      <c r="E31" t="s">
        <v>100</v>
      </c>
      <c r="F31" t="s">
        <v>100</v>
      </c>
      <c r="G31" t="s">
        <v>106</v>
      </c>
    </row>
    <row r="32" spans="1:10" x14ac:dyDescent="0.25">
      <c r="A32" s="90" t="s">
        <v>101</v>
      </c>
      <c r="B32" t="s">
        <v>105</v>
      </c>
      <c r="C32" t="s">
        <v>106</v>
      </c>
      <c r="D32" t="s">
        <v>106</v>
      </c>
      <c r="E32" t="s">
        <v>106</v>
      </c>
      <c r="F32" t="s">
        <v>106</v>
      </c>
      <c r="G32" t="s">
        <v>106</v>
      </c>
    </row>
    <row r="33" spans="1:7" x14ac:dyDescent="0.25">
      <c r="A33" s="90" t="s">
        <v>103</v>
      </c>
      <c r="B33" t="s">
        <v>105</v>
      </c>
      <c r="C33" t="s">
        <v>106</v>
      </c>
      <c r="D33" t="s">
        <v>106</v>
      </c>
      <c r="E33" t="s">
        <v>106</v>
      </c>
      <c r="F33" t="s">
        <v>106</v>
      </c>
      <c r="G33" t="s">
        <v>106</v>
      </c>
    </row>
    <row r="34" spans="1:7" x14ac:dyDescent="0.25">
      <c r="A34" s="90" t="s">
        <v>104</v>
      </c>
      <c r="B34" t="s">
        <v>105</v>
      </c>
      <c r="C34" t="s">
        <v>106</v>
      </c>
      <c r="D34" t="s">
        <v>106</v>
      </c>
      <c r="E34" t="s">
        <v>106</v>
      </c>
      <c r="F34" t="s">
        <v>106</v>
      </c>
      <c r="G34" t="s">
        <v>106</v>
      </c>
    </row>
    <row r="35" spans="1:7" x14ac:dyDescent="0.25">
      <c r="A35" s="90" t="s">
        <v>102</v>
      </c>
      <c r="B35" t="s">
        <v>99</v>
      </c>
      <c r="C35" t="s">
        <v>100</v>
      </c>
      <c r="D35" t="s">
        <v>100</v>
      </c>
      <c r="E35" t="s">
        <v>100</v>
      </c>
      <c r="F35" t="s">
        <v>100</v>
      </c>
      <c r="G35" t="s">
        <v>106</v>
      </c>
    </row>
    <row r="37" spans="1:7" x14ac:dyDescent="0.25">
      <c r="A37" t="s">
        <v>112</v>
      </c>
    </row>
    <row r="42" spans="1:7" x14ac:dyDescent="0.25">
      <c r="A42" t="s">
        <v>203</v>
      </c>
    </row>
    <row r="44" spans="1:7" x14ac:dyDescent="0.25">
      <c r="A44" s="71" t="s">
        <v>185</v>
      </c>
    </row>
    <row r="45" spans="1:7" x14ac:dyDescent="0.25">
      <c r="A45" s="137">
        <v>1651.02</v>
      </c>
      <c r="B45" t="s">
        <v>179</v>
      </c>
    </row>
    <row r="46" spans="1:7" x14ac:dyDescent="0.25">
      <c r="A46" s="137">
        <v>2171.15</v>
      </c>
      <c r="B46" t="s">
        <v>182</v>
      </c>
    </row>
    <row r="47" spans="1:7" x14ac:dyDescent="0.25">
      <c r="A47" s="137">
        <v>2398.2399999999998</v>
      </c>
      <c r="B47" t="s">
        <v>181</v>
      </c>
    </row>
    <row r="48" spans="1:7" x14ac:dyDescent="0.25">
      <c r="A48" s="137">
        <v>2680</v>
      </c>
      <c r="B48" t="s">
        <v>180</v>
      </c>
    </row>
    <row r="49" spans="1:15" x14ac:dyDescent="0.25">
      <c r="A49" s="137">
        <v>3680</v>
      </c>
      <c r="B49" t="s">
        <v>184</v>
      </c>
    </row>
    <row r="50" spans="1:15" x14ac:dyDescent="0.25">
      <c r="A50" s="137">
        <v>3892.74</v>
      </c>
      <c r="B50" t="s">
        <v>183</v>
      </c>
    </row>
    <row r="52" spans="1:15" x14ac:dyDescent="0.25">
      <c r="A52" s="71" t="s">
        <v>186</v>
      </c>
    </row>
    <row r="53" spans="1:15" x14ac:dyDescent="0.25">
      <c r="A53" s="137">
        <v>429.05</v>
      </c>
      <c r="B53" t="s">
        <v>187</v>
      </c>
    </row>
    <row r="54" spans="1:15" x14ac:dyDescent="0.25">
      <c r="A54" s="137">
        <v>469.79</v>
      </c>
      <c r="B54" t="s">
        <v>188</v>
      </c>
    </row>
    <row r="55" spans="1:15" x14ac:dyDescent="0.25">
      <c r="A55" s="137">
        <v>551.28</v>
      </c>
      <c r="B55" t="s">
        <v>192</v>
      </c>
    </row>
    <row r="56" spans="1:15" x14ac:dyDescent="0.25">
      <c r="A56" s="137">
        <v>663.33</v>
      </c>
      <c r="B56" t="s">
        <v>194</v>
      </c>
    </row>
    <row r="57" spans="1:15" x14ac:dyDescent="0.25">
      <c r="A57" s="137">
        <v>712.64</v>
      </c>
      <c r="B57" t="s">
        <v>191</v>
      </c>
    </row>
    <row r="58" spans="1:15" x14ac:dyDescent="0.25">
      <c r="K58" t="s">
        <v>195</v>
      </c>
    </row>
    <row r="59" spans="1:15" x14ac:dyDescent="0.25">
      <c r="A59" s="137">
        <v>525.77</v>
      </c>
      <c r="B59" t="s">
        <v>190</v>
      </c>
      <c r="K59" s="137">
        <f>A59-A54</f>
        <v>55.979999999999961</v>
      </c>
    </row>
    <row r="60" spans="1:15" x14ac:dyDescent="0.25">
      <c r="A60" s="137">
        <v>592.03</v>
      </c>
      <c r="B60" t="s">
        <v>189</v>
      </c>
      <c r="K60" s="137">
        <f>A60-A55</f>
        <v>40.75</v>
      </c>
    </row>
    <row r="61" spans="1:15" x14ac:dyDescent="0.25">
      <c r="A61" s="137">
        <v>768.58</v>
      </c>
      <c r="B61" t="s">
        <v>193</v>
      </c>
      <c r="K61" s="137">
        <f>A61-A57</f>
        <v>55.940000000000055</v>
      </c>
      <c r="O61">
        <v>2399</v>
      </c>
    </row>
    <row r="62" spans="1:15" x14ac:dyDescent="0.25">
      <c r="O62">
        <v>470</v>
      </c>
    </row>
    <row r="63" spans="1:15" x14ac:dyDescent="0.25">
      <c r="A63" s="71" t="s">
        <v>196</v>
      </c>
      <c r="K63" t="s">
        <v>202</v>
      </c>
      <c r="O63">
        <v>841</v>
      </c>
    </row>
    <row r="64" spans="1:15" x14ac:dyDescent="0.25">
      <c r="A64" s="137">
        <v>840.87</v>
      </c>
      <c r="B64" t="s">
        <v>199</v>
      </c>
      <c r="K64" s="137">
        <f>A64-A54</f>
        <v>371.08</v>
      </c>
      <c r="L64" s="100">
        <f>A64/A54</f>
        <v>1.7898848421635198</v>
      </c>
      <c r="O64">
        <v>895</v>
      </c>
    </row>
    <row r="65" spans="1:12" x14ac:dyDescent="0.25">
      <c r="A65" s="137">
        <v>894.59</v>
      </c>
      <c r="B65" t="s">
        <v>198</v>
      </c>
      <c r="K65" s="137">
        <f t="shared" ref="K65:K67" si="0">A65-A55</f>
        <v>343.31000000000006</v>
      </c>
      <c r="L65" s="100">
        <f t="shared" ref="L65:L67" si="1">A65/A55</f>
        <v>1.6227506893048906</v>
      </c>
    </row>
    <row r="66" spans="1:12" x14ac:dyDescent="0.25">
      <c r="A66" s="137">
        <v>1017.64</v>
      </c>
      <c r="B66" t="s">
        <v>200</v>
      </c>
      <c r="K66" s="137">
        <f t="shared" si="0"/>
        <v>354.30999999999995</v>
      </c>
      <c r="L66" s="100">
        <f t="shared" si="1"/>
        <v>1.5341383625043341</v>
      </c>
    </row>
    <row r="67" spans="1:12" x14ac:dyDescent="0.25">
      <c r="A67" s="137">
        <v>1227.6400000000001</v>
      </c>
      <c r="B67" t="s">
        <v>201</v>
      </c>
      <c r="K67" s="137">
        <f t="shared" si="0"/>
        <v>515.00000000000011</v>
      </c>
      <c r="L67" s="100">
        <f t="shared" si="1"/>
        <v>1.7226650202065561</v>
      </c>
    </row>
    <row r="68" spans="1:12" x14ac:dyDescent="0.25">
      <c r="A68" s="137"/>
      <c r="K68" s="137"/>
    </row>
    <row r="69" spans="1:12" x14ac:dyDescent="0.25">
      <c r="A69" s="137">
        <v>1753.19</v>
      </c>
      <c r="B69" t="s">
        <v>197</v>
      </c>
    </row>
    <row r="72" spans="1:12" x14ac:dyDescent="0.25">
      <c r="A72" s="137">
        <f>A47+A54+A64+A65</f>
        <v>4603.49</v>
      </c>
      <c r="B72" t="s">
        <v>204</v>
      </c>
    </row>
    <row r="74" spans="1:12" x14ac:dyDescent="0.25">
      <c r="A74" s="71" t="s">
        <v>212</v>
      </c>
    </row>
    <row r="75" spans="1:12" x14ac:dyDescent="0.25">
      <c r="A75" s="137">
        <v>735.62</v>
      </c>
      <c r="B75" t="s">
        <v>211</v>
      </c>
    </row>
    <row r="76" spans="1:12" x14ac:dyDescent="0.25">
      <c r="A76" s="137">
        <v>798</v>
      </c>
      <c r="B76" t="s">
        <v>206</v>
      </c>
    </row>
    <row r="77" spans="1:12" x14ac:dyDescent="0.25">
      <c r="A77" s="137">
        <v>812.99</v>
      </c>
      <c r="B77" t="s">
        <v>208</v>
      </c>
    </row>
    <row r="78" spans="1:12" x14ac:dyDescent="0.25">
      <c r="A78" s="137">
        <v>878.73</v>
      </c>
      <c r="B78" t="s">
        <v>205</v>
      </c>
    </row>
    <row r="79" spans="1:12" x14ac:dyDescent="0.25">
      <c r="A79" s="137">
        <v>947.55</v>
      </c>
      <c r="B79" t="s">
        <v>210</v>
      </c>
    </row>
    <row r="80" spans="1:12" x14ac:dyDescent="0.25">
      <c r="A80" s="137">
        <v>1015.91</v>
      </c>
      <c r="B80" t="s">
        <v>209</v>
      </c>
    </row>
    <row r="81" spans="1:2" x14ac:dyDescent="0.25">
      <c r="A81" s="137">
        <v>1161.18</v>
      </c>
      <c r="B81" t="s">
        <v>207</v>
      </c>
    </row>
    <row r="82" spans="1:2" x14ac:dyDescent="0.25">
      <c r="A82" s="137">
        <v>1248.6400000000001</v>
      </c>
      <c r="B82" t="s">
        <v>207</v>
      </c>
    </row>
    <row r="84" spans="1:2" x14ac:dyDescent="0.25">
      <c r="A84" s="71" t="s">
        <v>218</v>
      </c>
    </row>
    <row r="85" spans="1:2" x14ac:dyDescent="0.25">
      <c r="A85" s="137">
        <v>202.89</v>
      </c>
      <c r="B85" t="s">
        <v>213</v>
      </c>
    </row>
    <row r="86" spans="1:2" x14ac:dyDescent="0.25">
      <c r="A86" s="137">
        <v>282.68</v>
      </c>
      <c r="B86" t="s">
        <v>217</v>
      </c>
    </row>
    <row r="87" spans="1:2" x14ac:dyDescent="0.25">
      <c r="A87" s="137">
        <v>304.63</v>
      </c>
      <c r="B87" t="s">
        <v>215</v>
      </c>
    </row>
    <row r="88" spans="1:2" x14ac:dyDescent="0.25">
      <c r="A88" s="137">
        <v>316.83</v>
      </c>
      <c r="B88" t="s">
        <v>215</v>
      </c>
    </row>
    <row r="89" spans="1:2" x14ac:dyDescent="0.25">
      <c r="A89" s="137">
        <v>425</v>
      </c>
      <c r="B89" t="s">
        <v>216</v>
      </c>
    </row>
    <row r="90" spans="1:2" x14ac:dyDescent="0.25">
      <c r="A90" s="137">
        <v>435</v>
      </c>
      <c r="B90" t="s">
        <v>214</v>
      </c>
    </row>
    <row r="92" spans="1:2" x14ac:dyDescent="0.25">
      <c r="A92" s="71" t="s">
        <v>223</v>
      </c>
    </row>
    <row r="93" spans="1:2" x14ac:dyDescent="0.25">
      <c r="A93" s="137">
        <v>727.06</v>
      </c>
      <c r="B93" t="s">
        <v>220</v>
      </c>
    </row>
    <row r="94" spans="1:2" x14ac:dyDescent="0.25">
      <c r="A94" s="137">
        <v>749.41</v>
      </c>
      <c r="B94" t="s">
        <v>219</v>
      </c>
    </row>
    <row r="95" spans="1:2" x14ac:dyDescent="0.25">
      <c r="A95" s="137">
        <v>781.18</v>
      </c>
      <c r="B95" t="s">
        <v>219</v>
      </c>
    </row>
    <row r="96" spans="1:2" x14ac:dyDescent="0.25">
      <c r="A96" s="137">
        <v>849.99</v>
      </c>
      <c r="B96" t="s">
        <v>221</v>
      </c>
    </row>
    <row r="97" spans="1:2" x14ac:dyDescent="0.25">
      <c r="A97" s="137">
        <v>883.53</v>
      </c>
      <c r="B97" t="s">
        <v>221</v>
      </c>
    </row>
    <row r="98" spans="1:2" x14ac:dyDescent="0.25">
      <c r="A98" s="137">
        <v>934.12</v>
      </c>
      <c r="B98" t="s">
        <v>222</v>
      </c>
    </row>
    <row r="100" spans="1:2" x14ac:dyDescent="0.25">
      <c r="A100" s="137">
        <f>A78+A86+A94</f>
        <v>1910.8200000000002</v>
      </c>
      <c r="B100" t="s">
        <v>224</v>
      </c>
    </row>
  </sheetData>
  <sortState ref="A92:B97">
    <sortCondition ref="A92"/>
  </sortState>
  <pageMargins left="0.7" right="0.7" top="0.75" bottom="0.75" header="0.3" footer="0.3"/>
  <pageSetup scale="96"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zoomScale="85" zoomScaleNormal="85" workbookViewId="0"/>
  </sheetViews>
  <sheetFormatPr defaultRowHeight="15" x14ac:dyDescent="0.25"/>
  <cols>
    <col min="1" max="1" width="15.140625" customWidth="1"/>
    <col min="2" max="9" width="9.42578125" customWidth="1"/>
    <col min="10" max="11" width="8" customWidth="1"/>
  </cols>
  <sheetData>
    <row r="1" spans="1:20" ht="18" x14ac:dyDescent="0.25">
      <c r="A1" s="44" t="s">
        <v>45</v>
      </c>
      <c r="B1" s="1"/>
      <c r="C1" s="1"/>
      <c r="D1" s="2"/>
      <c r="E1" s="1"/>
      <c r="F1" s="1"/>
      <c r="G1" s="1"/>
      <c r="H1" s="1"/>
      <c r="I1" s="3"/>
      <c r="J1" s="3"/>
      <c r="K1" s="3"/>
    </row>
    <row r="2" spans="1:20" x14ac:dyDescent="0.25">
      <c r="A2" s="4"/>
      <c r="B2" s="1"/>
      <c r="C2" s="1"/>
      <c r="D2" s="5"/>
      <c r="E2" s="1"/>
      <c r="F2" s="1"/>
      <c r="G2" s="6"/>
      <c r="H2" s="7"/>
      <c r="I2" s="8"/>
      <c r="J2" s="3"/>
      <c r="K2" s="3"/>
    </row>
    <row r="3" spans="1:20" x14ac:dyDescent="0.25">
      <c r="A3" s="65" t="s">
        <v>54</v>
      </c>
      <c r="B3" s="66"/>
      <c r="C3" s="66"/>
      <c r="D3" s="67"/>
      <c r="E3" s="66"/>
      <c r="F3" s="66"/>
      <c r="G3" s="68"/>
      <c r="H3" s="66"/>
      <c r="I3" s="69"/>
      <c r="J3" s="69"/>
      <c r="K3" s="69"/>
    </row>
    <row r="4" spans="1:20" x14ac:dyDescent="0.25">
      <c r="A4" s="4"/>
      <c r="B4" s="1"/>
      <c r="C4" s="1"/>
      <c r="D4" s="9"/>
      <c r="E4" s="1"/>
      <c r="F4" s="1"/>
      <c r="G4" s="1"/>
      <c r="H4" s="1"/>
      <c r="I4" s="3"/>
      <c r="J4" s="3"/>
      <c r="K4" s="3"/>
    </row>
    <row r="5" spans="1:20" x14ac:dyDescent="0.25">
      <c r="A5" s="49" t="s">
        <v>0</v>
      </c>
      <c r="B5" s="50">
        <f>B6+B7+B9</f>
        <v>1694.3</v>
      </c>
      <c r="C5" s="10"/>
      <c r="D5" s="10"/>
      <c r="E5" s="10" t="s">
        <v>1</v>
      </c>
      <c r="F5" s="11" t="s">
        <v>2</v>
      </c>
      <c r="G5" s="3"/>
      <c r="I5" s="12" t="s">
        <v>3</v>
      </c>
      <c r="J5" s="13">
        <f>SUM(B23,H27,H32,G18,B17)</f>
        <v>4349.8277888888888</v>
      </c>
    </row>
    <row r="6" spans="1:20" x14ac:dyDescent="0.25">
      <c r="A6" s="51" t="s">
        <v>4</v>
      </c>
      <c r="B6" s="52">
        <f>B15</f>
        <v>680</v>
      </c>
      <c r="C6" s="10"/>
      <c r="D6" s="10"/>
      <c r="E6" s="14" t="s">
        <v>5</v>
      </c>
      <c r="F6" s="11">
        <v>3</v>
      </c>
      <c r="G6" s="3"/>
      <c r="I6" s="12" t="s">
        <v>48</v>
      </c>
      <c r="J6" s="57">
        <f>D19</f>
        <v>14375.591666666667</v>
      </c>
    </row>
    <row r="7" spans="1:20" x14ac:dyDescent="0.25">
      <c r="A7" s="51" t="s">
        <v>6</v>
      </c>
      <c r="B7" s="52">
        <f>B16</f>
        <v>720</v>
      </c>
      <c r="C7" s="10"/>
      <c r="D7" s="10"/>
      <c r="E7" s="10" t="s">
        <v>7</v>
      </c>
      <c r="F7" s="11">
        <v>2.5</v>
      </c>
      <c r="G7" s="3"/>
      <c r="I7" s="15" t="s">
        <v>47</v>
      </c>
      <c r="J7" s="16">
        <f>(J6*3)/60</f>
        <v>718.77958333333333</v>
      </c>
    </row>
    <row r="8" spans="1:20" x14ac:dyDescent="0.25">
      <c r="A8" s="51" t="s">
        <v>8</v>
      </c>
      <c r="B8" s="52">
        <v>0</v>
      </c>
      <c r="C8" s="10"/>
      <c r="D8" s="10"/>
      <c r="E8" s="58" t="s">
        <v>9</v>
      </c>
      <c r="F8" s="59">
        <v>0</v>
      </c>
      <c r="G8" s="3"/>
      <c r="I8" s="23" t="s">
        <v>10</v>
      </c>
      <c r="J8" s="24">
        <f>J7/J5</f>
        <v>0.16524322759842797</v>
      </c>
    </row>
    <row r="9" spans="1:20" x14ac:dyDescent="0.25">
      <c r="A9" s="53" t="s">
        <v>34</v>
      </c>
      <c r="B9" s="54">
        <f>B17</f>
        <v>294.3</v>
      </c>
      <c r="C9" s="10"/>
      <c r="D9" s="3"/>
      <c r="E9" s="3"/>
      <c r="F9" s="3"/>
      <c r="G9" s="3"/>
      <c r="H9" s="19"/>
      <c r="I9" s="10"/>
      <c r="J9" s="3"/>
      <c r="K9" s="3"/>
    </row>
    <row r="10" spans="1:20" x14ac:dyDescent="0.25">
      <c r="A10" s="55"/>
      <c r="B10" s="56">
        <f>B9+B5</f>
        <v>1988.6</v>
      </c>
      <c r="C10" s="10"/>
      <c r="D10" s="3"/>
      <c r="E10" s="3"/>
      <c r="F10" s="3"/>
      <c r="G10" s="3"/>
      <c r="H10" s="18"/>
      <c r="I10" s="10"/>
      <c r="J10" s="3"/>
      <c r="K10" s="3"/>
      <c r="P10" s="45" t="s">
        <v>36</v>
      </c>
      <c r="Q10" s="46"/>
      <c r="R10" s="46"/>
      <c r="S10" s="47"/>
      <c r="T10" s="46"/>
    </row>
    <row r="11" spans="1:20" x14ac:dyDescent="0.25">
      <c r="A11" s="21"/>
      <c r="B11" s="22"/>
      <c r="C11" s="10"/>
      <c r="D11" s="3"/>
      <c r="E11" s="3"/>
      <c r="F11" s="18"/>
      <c r="G11" s="10"/>
      <c r="I11" s="10" t="s">
        <v>49</v>
      </c>
      <c r="J11" s="70">
        <f>J5*0.25</f>
        <v>1087.4569472222222</v>
      </c>
      <c r="K11" s="25"/>
      <c r="P11" s="48" t="s">
        <v>37</v>
      </c>
      <c r="Q11" s="46">
        <v>294.3</v>
      </c>
      <c r="R11" s="46">
        <f>8+1/12</f>
        <v>8.0833333333333339</v>
      </c>
      <c r="S11" s="47">
        <f>R11*Q11</f>
        <v>2378.9250000000002</v>
      </c>
      <c r="T11" s="46"/>
    </row>
    <row r="12" spans="1:20" x14ac:dyDescent="0.25">
      <c r="A12" s="61" t="s">
        <v>11</v>
      </c>
      <c r="B12" s="62">
        <f>7.5*(F6+1)+0.01*B5</f>
        <v>46.942999999999998</v>
      </c>
      <c r="C12" s="63">
        <f>0.5*B12</f>
        <v>23.471499999999999</v>
      </c>
      <c r="D12" s="64" t="s">
        <v>12</v>
      </c>
      <c r="E12" s="10"/>
      <c r="F12" s="10"/>
      <c r="G12" s="10"/>
      <c r="H12" s="10"/>
      <c r="I12" s="10" t="s">
        <v>50</v>
      </c>
      <c r="J12" s="39">
        <f>(J11/J6)*60</f>
        <v>4.5387639233399666</v>
      </c>
      <c r="K12" s="3"/>
      <c r="P12" s="48" t="s">
        <v>38</v>
      </c>
      <c r="Q12" s="46">
        <v>680</v>
      </c>
      <c r="R12" s="46">
        <f>9+1/12</f>
        <v>9.0833333333333339</v>
      </c>
      <c r="S12" s="47">
        <f>R12*Q12</f>
        <v>6176.666666666667</v>
      </c>
      <c r="T12" s="46" t="s">
        <v>114</v>
      </c>
    </row>
    <row r="13" spans="1:20" x14ac:dyDescent="0.25">
      <c r="A13" s="20"/>
      <c r="B13" s="22"/>
      <c r="C13" s="10"/>
      <c r="D13" s="26"/>
      <c r="E13" s="3"/>
      <c r="F13" s="3"/>
      <c r="G13" s="3"/>
      <c r="H13" s="3"/>
      <c r="I13" s="3"/>
      <c r="J13" s="3"/>
      <c r="K13" s="3"/>
      <c r="P13" s="48" t="s">
        <v>39</v>
      </c>
      <c r="Q13" s="46">
        <v>720</v>
      </c>
      <c r="R13" s="46">
        <f>8+1/12</f>
        <v>8.0833333333333339</v>
      </c>
      <c r="S13" s="47">
        <f>R13*Q13</f>
        <v>5820</v>
      </c>
      <c r="T13" s="46"/>
    </row>
    <row r="14" spans="1:20" x14ac:dyDescent="0.25">
      <c r="A14" s="27" t="s">
        <v>13</v>
      </c>
      <c r="B14" s="10" t="s">
        <v>14</v>
      </c>
      <c r="C14" s="10" t="s">
        <v>15</v>
      </c>
      <c r="D14" s="10" t="s">
        <v>16</v>
      </c>
      <c r="E14" s="10"/>
      <c r="F14" s="3"/>
      <c r="G14" s="3"/>
      <c r="H14" s="10"/>
      <c r="I14" s="28"/>
      <c r="J14" s="3"/>
      <c r="K14" s="3"/>
      <c r="P14" s="48" t="s">
        <v>26</v>
      </c>
      <c r="Q14" s="46"/>
      <c r="R14" s="46"/>
      <c r="S14" s="47">
        <f>SUM(S11:S13)</f>
        <v>14375.591666666667</v>
      </c>
      <c r="T14" s="46"/>
    </row>
    <row r="15" spans="1:20" x14ac:dyDescent="0.25">
      <c r="A15" s="29" t="s">
        <v>17</v>
      </c>
      <c r="B15" s="10">
        <f>Q12</f>
        <v>680</v>
      </c>
      <c r="C15" s="10">
        <f>R12</f>
        <v>9.0833333333333339</v>
      </c>
      <c r="D15" s="10">
        <f>C15*B15</f>
        <v>6176.666666666667</v>
      </c>
      <c r="E15" s="10"/>
      <c r="F15" s="3"/>
      <c r="G15" s="3"/>
      <c r="H15" s="10"/>
      <c r="I15" s="28"/>
      <c r="J15" s="3"/>
      <c r="K15" s="3"/>
      <c r="P15" s="46"/>
      <c r="Q15" s="46"/>
      <c r="R15" s="46"/>
      <c r="S15" s="47"/>
      <c r="T15" s="46"/>
    </row>
    <row r="16" spans="1:20" x14ac:dyDescent="0.25">
      <c r="A16" s="30" t="s">
        <v>18</v>
      </c>
      <c r="B16" s="10">
        <f>Q13</f>
        <v>720</v>
      </c>
      <c r="C16" s="10">
        <f>R13</f>
        <v>8.0833333333333339</v>
      </c>
      <c r="D16" s="10">
        <f>C16*B16</f>
        <v>5820</v>
      </c>
      <c r="E16" s="10"/>
      <c r="F16" s="3"/>
      <c r="G16" s="3"/>
      <c r="H16" s="10"/>
      <c r="I16" s="28"/>
      <c r="J16" s="3"/>
      <c r="K16" s="3"/>
      <c r="P16" s="48" t="s">
        <v>40</v>
      </c>
      <c r="Q16" s="46"/>
      <c r="R16" s="46"/>
      <c r="S16" s="47">
        <f>(S14*3)/60</f>
        <v>718.77958333333333</v>
      </c>
      <c r="T16" s="46"/>
    </row>
    <row r="17" spans="1:20" x14ac:dyDescent="0.25">
      <c r="A17" s="29" t="s">
        <v>35</v>
      </c>
      <c r="B17" s="10">
        <f>Q11</f>
        <v>294.3</v>
      </c>
      <c r="C17" s="10">
        <f>R13</f>
        <v>8.0833333333333339</v>
      </c>
      <c r="D17" s="10">
        <f>C17*B17</f>
        <v>2378.9250000000002</v>
      </c>
      <c r="E17" s="10"/>
      <c r="F17" s="3"/>
      <c r="G17" s="3"/>
      <c r="H17" s="12"/>
      <c r="I17" s="28"/>
      <c r="J17" s="3"/>
      <c r="K17" s="3"/>
      <c r="P17" s="46"/>
      <c r="Q17" s="46"/>
      <c r="R17" s="46"/>
      <c r="S17" s="47"/>
      <c r="T17" s="46"/>
    </row>
    <row r="18" spans="1:20" x14ac:dyDescent="0.25">
      <c r="A18" s="31" t="s">
        <v>19</v>
      </c>
      <c r="B18" s="32"/>
      <c r="C18" s="32"/>
      <c r="D18" s="33"/>
      <c r="E18" s="33"/>
      <c r="F18" s="34" t="s">
        <v>20</v>
      </c>
      <c r="G18" s="35">
        <f>SUM(G19:G20)</f>
        <v>425.63889999999998</v>
      </c>
      <c r="H18" s="33"/>
      <c r="I18" s="36"/>
      <c r="J18" s="36"/>
      <c r="K18" s="36"/>
      <c r="P18" s="48" t="s">
        <v>41</v>
      </c>
      <c r="Q18" s="46"/>
      <c r="R18" s="46"/>
      <c r="S18" s="47">
        <v>1350</v>
      </c>
      <c r="T18" s="46"/>
    </row>
    <row r="19" spans="1:20" x14ac:dyDescent="0.25">
      <c r="A19" s="29"/>
      <c r="B19" s="11"/>
      <c r="C19" s="10"/>
      <c r="D19" s="10">
        <f>SUM(D15:D17)</f>
        <v>14375.591666666667</v>
      </c>
      <c r="E19" s="10"/>
      <c r="F19" s="10" t="s">
        <v>21</v>
      </c>
      <c r="G19" s="37">
        <v>385.63889999999998</v>
      </c>
      <c r="H19" s="26" t="s">
        <v>21</v>
      </c>
      <c r="I19" s="3"/>
      <c r="J19" s="3"/>
      <c r="K19" s="3"/>
      <c r="P19" s="48" t="s">
        <v>42</v>
      </c>
      <c r="Q19" s="46"/>
      <c r="R19" s="46"/>
      <c r="S19" s="47">
        <f>(S18*60)/S14</f>
        <v>5.6345506938554992</v>
      </c>
      <c r="T19" s="48" t="s">
        <v>43</v>
      </c>
    </row>
    <row r="20" spans="1:20" x14ac:dyDescent="0.25">
      <c r="A20" s="29"/>
      <c r="B20" s="10"/>
      <c r="C20" s="10"/>
      <c r="D20" s="10"/>
      <c r="E20" s="10"/>
      <c r="F20" s="10" t="s">
        <v>22</v>
      </c>
      <c r="G20" s="10">
        <v>40</v>
      </c>
      <c r="H20" s="26" t="s">
        <v>46</v>
      </c>
      <c r="I20" s="3"/>
      <c r="J20" s="3"/>
      <c r="K20" s="3"/>
      <c r="P20" s="46"/>
      <c r="Q20" s="46"/>
      <c r="R20" s="46"/>
      <c r="S20" s="47"/>
      <c r="T20" s="46"/>
    </row>
    <row r="21" spans="1:20" x14ac:dyDescent="0.25">
      <c r="A21" s="27" t="s">
        <v>23</v>
      </c>
      <c r="B21" s="10" t="s">
        <v>24</v>
      </c>
      <c r="C21" s="10"/>
      <c r="D21" s="10"/>
      <c r="E21" s="10"/>
      <c r="F21" s="10"/>
      <c r="G21" s="10"/>
      <c r="H21" s="10"/>
      <c r="I21" s="3"/>
      <c r="J21" s="3"/>
      <c r="K21" s="3"/>
      <c r="P21" s="46"/>
      <c r="Q21" s="46"/>
      <c r="R21" s="46"/>
      <c r="S21" s="47"/>
      <c r="T21" s="46"/>
    </row>
    <row r="22" spans="1:20" x14ac:dyDescent="0.25">
      <c r="A22" s="29" t="s">
        <v>25</v>
      </c>
      <c r="B22" s="10">
        <f>B16</f>
        <v>720</v>
      </c>
      <c r="C22" s="10"/>
      <c r="D22" s="10"/>
      <c r="E22" s="10"/>
      <c r="F22" s="10"/>
      <c r="G22" s="3"/>
      <c r="H22" s="10"/>
      <c r="I22" s="3"/>
      <c r="J22" s="3"/>
      <c r="K22" s="3"/>
      <c r="P22" s="45" t="s">
        <v>44</v>
      </c>
      <c r="Q22" s="46"/>
      <c r="R22" s="46"/>
      <c r="S22" s="47"/>
      <c r="T22" s="46"/>
    </row>
    <row r="23" spans="1:20" x14ac:dyDescent="0.25">
      <c r="A23" s="29" t="s">
        <v>26</v>
      </c>
      <c r="B23" s="10">
        <f>SUM(B22:B22)</f>
        <v>720</v>
      </c>
      <c r="C23" s="10"/>
      <c r="D23" s="10"/>
      <c r="E23" s="10"/>
      <c r="F23" s="10"/>
      <c r="G23" s="3"/>
      <c r="H23" s="10"/>
      <c r="I23" s="3"/>
      <c r="J23" s="3"/>
      <c r="K23" s="3"/>
      <c r="P23" s="48" t="s">
        <v>37</v>
      </c>
      <c r="Q23" s="46">
        <v>355.7</v>
      </c>
      <c r="R23" s="46">
        <f>8+1/12</f>
        <v>8.0833333333333339</v>
      </c>
      <c r="S23" s="47">
        <f>R23*Q23</f>
        <v>2875.2416666666668</v>
      </c>
      <c r="T23" s="46"/>
    </row>
    <row r="24" spans="1:20" x14ac:dyDescent="0.25">
      <c r="A24" s="29"/>
      <c r="B24" s="10"/>
      <c r="C24" s="10"/>
      <c r="D24" s="10"/>
      <c r="E24" s="10"/>
      <c r="F24" s="10"/>
      <c r="G24" s="10"/>
      <c r="H24" s="10"/>
      <c r="I24" s="3"/>
      <c r="J24" s="3"/>
      <c r="K24" s="3"/>
      <c r="P24" s="48" t="s">
        <v>38</v>
      </c>
      <c r="Q24" s="46">
        <v>824.3</v>
      </c>
      <c r="R24" s="46">
        <f>9+1/12</f>
        <v>9.0833333333333339</v>
      </c>
      <c r="S24" s="47">
        <f>R24*Q24</f>
        <v>7487.3916666666664</v>
      </c>
      <c r="T24" s="46" t="s">
        <v>114</v>
      </c>
    </row>
    <row r="25" spans="1:20" x14ac:dyDescent="0.25">
      <c r="A25" s="27" t="s">
        <v>35</v>
      </c>
      <c r="B25" s="10" t="s">
        <v>27</v>
      </c>
      <c r="C25" s="10" t="s">
        <v>28</v>
      </c>
      <c r="D25" s="10" t="s">
        <v>29</v>
      </c>
      <c r="E25" s="10" t="s">
        <v>15</v>
      </c>
      <c r="F25" s="10" t="s">
        <v>30</v>
      </c>
      <c r="G25" s="38" t="s">
        <v>31</v>
      </c>
      <c r="H25" s="11" t="s">
        <v>29</v>
      </c>
      <c r="I25" s="3"/>
      <c r="J25" s="3"/>
      <c r="K25" s="39"/>
      <c r="P25" s="48" t="s">
        <v>39</v>
      </c>
      <c r="Q25" s="46">
        <v>824.3</v>
      </c>
      <c r="R25" s="46">
        <f>8+1/12</f>
        <v>8.0833333333333339</v>
      </c>
      <c r="S25" s="47">
        <f>R25*Q25</f>
        <v>6663.0916666666672</v>
      </c>
      <c r="T25" s="46"/>
    </row>
    <row r="26" spans="1:20" x14ac:dyDescent="0.25">
      <c r="A26" s="31" t="s">
        <v>35</v>
      </c>
      <c r="B26" s="33">
        <f>75+10/12</f>
        <v>75.833333333333329</v>
      </c>
      <c r="C26" s="33">
        <f>20+3+11/12</f>
        <v>23.916666666666668</v>
      </c>
      <c r="D26" s="33">
        <f>SUM(B26:C26)</f>
        <v>99.75</v>
      </c>
      <c r="E26" s="33">
        <f>C17</f>
        <v>8.0833333333333339</v>
      </c>
      <c r="F26" s="35">
        <f>B26*E26</f>
        <v>612.98611111111109</v>
      </c>
      <c r="G26" s="40">
        <f>C26*E26</f>
        <v>193.32638888888891</v>
      </c>
      <c r="H26" s="41">
        <f>SUM(F26:G26)</f>
        <v>806.3125</v>
      </c>
      <c r="I26" s="36"/>
      <c r="J26" s="36"/>
      <c r="K26" s="36"/>
      <c r="P26" s="48" t="s">
        <v>26</v>
      </c>
      <c r="Q26" s="46"/>
      <c r="R26" s="46"/>
      <c r="S26" s="47">
        <f>SUM(S23:S25)</f>
        <v>17025.724999999999</v>
      </c>
      <c r="T26" s="46"/>
    </row>
    <row r="27" spans="1:20" x14ac:dyDescent="0.25">
      <c r="A27" s="20"/>
      <c r="B27" s="12"/>
      <c r="C27" s="12"/>
      <c r="D27" s="10"/>
      <c r="E27" s="10"/>
      <c r="F27" s="10">
        <f>SUM(F26:F26)</f>
        <v>612.98611111111109</v>
      </c>
      <c r="G27" s="38">
        <f>SUM(G26:G26)</f>
        <v>193.32638888888891</v>
      </c>
      <c r="H27" s="10">
        <f>SUM(H26:H26)</f>
        <v>806.3125</v>
      </c>
      <c r="I27" s="28"/>
      <c r="J27" s="28"/>
      <c r="K27" s="28"/>
      <c r="P27" s="46"/>
      <c r="Q27" s="46"/>
      <c r="R27" s="46"/>
      <c r="S27" s="47"/>
      <c r="T27" s="46"/>
    </row>
    <row r="28" spans="1:20" x14ac:dyDescent="0.25">
      <c r="A28" s="29"/>
      <c r="B28" s="10"/>
      <c r="C28" s="10"/>
      <c r="D28" s="10"/>
      <c r="E28" s="10"/>
      <c r="F28" s="10"/>
      <c r="G28" s="10"/>
      <c r="H28" s="10"/>
      <c r="I28" s="3"/>
      <c r="J28" s="3"/>
      <c r="K28" s="3"/>
      <c r="P28" s="48" t="s">
        <v>40</v>
      </c>
      <c r="Q28" s="46"/>
      <c r="R28" s="46"/>
      <c r="S28" s="47">
        <f>(S26*3)/60</f>
        <v>851.28624999999988</v>
      </c>
      <c r="T28" s="46"/>
    </row>
    <row r="29" spans="1:20" x14ac:dyDescent="0.25">
      <c r="A29" s="27" t="s">
        <v>32</v>
      </c>
      <c r="B29" s="10" t="s">
        <v>27</v>
      </c>
      <c r="C29" s="10" t="s">
        <v>28</v>
      </c>
      <c r="D29" s="10" t="s">
        <v>29</v>
      </c>
      <c r="E29" s="10" t="s">
        <v>15</v>
      </c>
      <c r="F29" s="10" t="s">
        <v>30</v>
      </c>
      <c r="G29" s="38" t="s">
        <v>31</v>
      </c>
      <c r="H29" s="11" t="s">
        <v>29</v>
      </c>
      <c r="I29" s="3"/>
      <c r="J29" s="3"/>
      <c r="K29" s="3"/>
      <c r="P29" s="46"/>
      <c r="Q29" s="46"/>
      <c r="R29" s="46"/>
      <c r="S29" s="47"/>
      <c r="T29" s="46"/>
    </row>
    <row r="30" spans="1:20" x14ac:dyDescent="0.25">
      <c r="A30" s="29" t="s">
        <v>17</v>
      </c>
      <c r="B30" s="10">
        <v>108</v>
      </c>
      <c r="C30" s="10">
        <f>C26</f>
        <v>23.916666666666668</v>
      </c>
      <c r="D30" s="10">
        <f>SUM(B30:C30)</f>
        <v>131.91666666666666</v>
      </c>
      <c r="E30" s="10">
        <f>C15</f>
        <v>9.0833333333333339</v>
      </c>
      <c r="F30" s="17">
        <f>B30*E30</f>
        <v>981.00000000000011</v>
      </c>
      <c r="G30" s="42">
        <f>C30*E30</f>
        <v>217.24305555555557</v>
      </c>
      <c r="H30" s="17">
        <f>SUM(F30:G30)</f>
        <v>1198.2430555555557</v>
      </c>
      <c r="I30" s="3"/>
      <c r="J30" s="3"/>
      <c r="K30" s="3"/>
      <c r="P30" s="48" t="s">
        <v>41</v>
      </c>
      <c r="Q30" s="46"/>
      <c r="R30" s="46"/>
      <c r="S30" s="47">
        <v>1350</v>
      </c>
      <c r="T30" s="46"/>
    </row>
    <row r="31" spans="1:20" x14ac:dyDescent="0.25">
      <c r="A31" s="31" t="str">
        <f>A16</f>
        <v>Second floor</v>
      </c>
      <c r="B31" s="33">
        <v>112</v>
      </c>
      <c r="C31" s="33"/>
      <c r="D31" s="33">
        <f>SUM(B31:C31)</f>
        <v>112</v>
      </c>
      <c r="E31" s="33">
        <f>C16</f>
        <v>8.0833333333333339</v>
      </c>
      <c r="F31" s="35">
        <f>B31*E31</f>
        <v>905.33333333333337</v>
      </c>
      <c r="G31" s="40"/>
      <c r="H31" s="41">
        <f>SUM(F31:G31)</f>
        <v>905.33333333333337</v>
      </c>
      <c r="I31" s="60"/>
      <c r="J31" s="36"/>
      <c r="K31" s="36"/>
      <c r="P31" s="48" t="s">
        <v>42</v>
      </c>
      <c r="Q31" s="46"/>
      <c r="R31" s="46"/>
      <c r="S31" s="47">
        <f>(S30*60)/S26</f>
        <v>4.7575066553700358</v>
      </c>
      <c r="T31" s="48" t="s">
        <v>43</v>
      </c>
    </row>
    <row r="32" spans="1:20" x14ac:dyDescent="0.25">
      <c r="A32" s="3"/>
      <c r="B32" s="10"/>
      <c r="C32" s="10"/>
      <c r="D32" s="10"/>
      <c r="E32" s="43" t="s">
        <v>33</v>
      </c>
      <c r="F32" s="10">
        <f>SUM(F30:F31)</f>
        <v>1886.3333333333335</v>
      </c>
      <c r="G32" s="38">
        <f>SUM(G30:G31)</f>
        <v>217.24305555555557</v>
      </c>
      <c r="H32" s="10">
        <f>SUM(H30:H31)</f>
        <v>2103.5763888888891</v>
      </c>
      <c r="I32" s="3"/>
      <c r="J32" s="3"/>
      <c r="K32" s="3"/>
      <c r="P32" s="46"/>
      <c r="Q32" s="46"/>
      <c r="R32" s="46"/>
      <c r="S32" s="46"/>
      <c r="T32" s="46"/>
    </row>
    <row r="35" spans="1:19" x14ac:dyDescent="0.25">
      <c r="A35" s="65" t="s">
        <v>55</v>
      </c>
      <c r="B35" s="66"/>
      <c r="C35" s="66"/>
      <c r="D35" s="67"/>
      <c r="E35" s="66"/>
      <c r="F35" s="66"/>
      <c r="G35" s="68"/>
      <c r="H35" s="66"/>
      <c r="I35" s="69"/>
      <c r="J35" s="69"/>
      <c r="K35" s="69"/>
    </row>
    <row r="36" spans="1:19" x14ac:dyDescent="0.25">
      <c r="A36" s="4"/>
      <c r="B36" s="1"/>
      <c r="C36" s="1"/>
      <c r="D36" s="9"/>
      <c r="E36" s="1"/>
      <c r="F36" s="1"/>
      <c r="G36" s="1"/>
      <c r="H36" s="1"/>
      <c r="I36" s="3"/>
      <c r="J36" s="3"/>
      <c r="K36" s="3"/>
    </row>
    <row r="37" spans="1:19" x14ac:dyDescent="0.25">
      <c r="A37" s="49" t="s">
        <v>0</v>
      </c>
      <c r="B37" s="50">
        <f>B38+B39+B41</f>
        <v>2004.3</v>
      </c>
      <c r="C37" s="10"/>
      <c r="D37" s="10"/>
      <c r="E37" s="10" t="s">
        <v>1</v>
      </c>
      <c r="F37" s="11" t="s">
        <v>2</v>
      </c>
      <c r="G37" s="3"/>
      <c r="I37" s="12" t="s">
        <v>3</v>
      </c>
      <c r="J37" s="13">
        <f>SUM(B55,H59,H64,G50,B49)</f>
        <v>4864.8471333333337</v>
      </c>
      <c r="P37" t="s">
        <v>56</v>
      </c>
    </row>
    <row r="38" spans="1:19" x14ac:dyDescent="0.25">
      <c r="A38" s="51" t="s">
        <v>4</v>
      </c>
      <c r="B38" s="52">
        <f>B47</f>
        <v>824.3</v>
      </c>
      <c r="C38" s="10"/>
      <c r="D38" s="10"/>
      <c r="E38" s="14" t="s">
        <v>5</v>
      </c>
      <c r="F38" s="11">
        <v>3</v>
      </c>
      <c r="G38" s="3"/>
      <c r="I38" s="12" t="s">
        <v>48</v>
      </c>
      <c r="J38" s="57">
        <f>D51</f>
        <v>17025.724999999999</v>
      </c>
    </row>
    <row r="39" spans="1:19" x14ac:dyDescent="0.25">
      <c r="A39" s="51" t="s">
        <v>6</v>
      </c>
      <c r="B39" s="52">
        <f>B48</f>
        <v>824.3</v>
      </c>
      <c r="C39" s="10"/>
      <c r="D39" s="10"/>
      <c r="E39" s="10" t="s">
        <v>7</v>
      </c>
      <c r="F39" s="11">
        <v>2.5</v>
      </c>
      <c r="G39" s="3"/>
      <c r="I39" s="15" t="s">
        <v>47</v>
      </c>
      <c r="J39" s="16">
        <f>(J38*3)/60</f>
        <v>851.28624999999988</v>
      </c>
      <c r="P39" s="45">
        <v>1.25</v>
      </c>
      <c r="Q39" s="46"/>
      <c r="R39" s="46"/>
      <c r="S39" s="47"/>
    </row>
    <row r="40" spans="1:19" x14ac:dyDescent="0.25">
      <c r="A40" s="51" t="s">
        <v>8</v>
      </c>
      <c r="B40" s="52">
        <v>0</v>
      </c>
      <c r="C40" s="10"/>
      <c r="D40" s="10"/>
      <c r="E40" s="58" t="s">
        <v>9</v>
      </c>
      <c r="F40" s="59">
        <v>0</v>
      </c>
      <c r="G40" s="3"/>
      <c r="I40" s="23" t="s">
        <v>10</v>
      </c>
      <c r="J40" s="24">
        <f>J39/J37</f>
        <v>0.17498725585169805</v>
      </c>
      <c r="P40" s="48">
        <v>2.52</v>
      </c>
      <c r="Q40" s="46"/>
      <c r="R40" s="46"/>
      <c r="S40" s="47"/>
    </row>
    <row r="41" spans="1:19" x14ac:dyDescent="0.25">
      <c r="A41" s="53" t="s">
        <v>34</v>
      </c>
      <c r="B41" s="54">
        <f>B49</f>
        <v>355.7</v>
      </c>
      <c r="C41" s="10"/>
      <c r="D41" s="3"/>
      <c r="E41" s="3"/>
      <c r="F41" s="3"/>
      <c r="G41" s="3"/>
      <c r="H41" s="19"/>
      <c r="I41" s="10"/>
      <c r="J41" s="3"/>
      <c r="K41" s="3"/>
      <c r="P41" s="48">
        <v>3.12</v>
      </c>
      <c r="Q41" s="46"/>
      <c r="R41" s="46"/>
      <c r="S41" s="47"/>
    </row>
    <row r="42" spans="1:19" x14ac:dyDescent="0.25">
      <c r="A42" s="55"/>
      <c r="B42" s="56">
        <f>B41+B37</f>
        <v>2360</v>
      </c>
      <c r="C42" s="10"/>
      <c r="D42" s="3"/>
      <c r="E42" s="3"/>
      <c r="F42" s="3"/>
      <c r="G42" s="3"/>
      <c r="H42" s="18"/>
      <c r="I42" s="10"/>
      <c r="J42" s="3"/>
      <c r="K42" s="3"/>
      <c r="P42" s="48">
        <v>1.19</v>
      </c>
      <c r="Q42" s="46"/>
      <c r="R42" s="46"/>
      <c r="S42" s="47"/>
    </row>
    <row r="43" spans="1:19" x14ac:dyDescent="0.25">
      <c r="A43" s="21"/>
      <c r="B43" s="22"/>
      <c r="C43" s="10"/>
      <c r="D43" s="3"/>
      <c r="E43" s="3"/>
      <c r="F43" s="18"/>
      <c r="G43" s="10"/>
      <c r="I43" s="10" t="s">
        <v>49</v>
      </c>
      <c r="J43" s="70">
        <f>J37*0.25</f>
        <v>1216.2117833333334</v>
      </c>
      <c r="K43" s="25"/>
      <c r="P43" s="48">
        <v>3.16</v>
      </c>
      <c r="Q43" s="46"/>
      <c r="R43" s="46"/>
      <c r="S43" s="47"/>
    </row>
    <row r="44" spans="1:19" x14ac:dyDescent="0.25">
      <c r="A44" s="61" t="s">
        <v>11</v>
      </c>
      <c r="B44" s="62">
        <f>7.5*(F38+1)+0.01*B37</f>
        <v>50.042999999999999</v>
      </c>
      <c r="C44" s="63">
        <f>0.5*B44</f>
        <v>25.0215</v>
      </c>
      <c r="D44" s="64" t="s">
        <v>12</v>
      </c>
      <c r="E44" s="10"/>
      <c r="F44" s="10"/>
      <c r="G44" s="10"/>
      <c r="H44" s="10"/>
      <c r="I44" s="10" t="s">
        <v>50</v>
      </c>
      <c r="J44" s="39">
        <f>(J43/J38)*60</f>
        <v>4.2860264100354026</v>
      </c>
      <c r="K44" s="3"/>
      <c r="P44" s="46">
        <v>2.62</v>
      </c>
      <c r="Q44" s="46"/>
      <c r="R44" s="46"/>
      <c r="S44" s="47"/>
    </row>
    <row r="45" spans="1:19" x14ac:dyDescent="0.25">
      <c r="A45" s="20"/>
      <c r="B45" s="22"/>
      <c r="C45" s="10"/>
      <c r="D45" s="26"/>
      <c r="E45" s="3"/>
      <c r="F45" s="3"/>
      <c r="G45" s="3"/>
      <c r="H45" s="3"/>
      <c r="I45" s="3"/>
      <c r="J45" s="3"/>
      <c r="K45" s="3"/>
      <c r="P45" s="48">
        <v>2.13</v>
      </c>
      <c r="Q45" s="46"/>
      <c r="R45" s="46"/>
      <c r="S45" s="47"/>
    </row>
    <row r="46" spans="1:19" x14ac:dyDescent="0.25">
      <c r="A46" s="27" t="s">
        <v>13</v>
      </c>
      <c r="B46" s="10" t="s">
        <v>14</v>
      </c>
      <c r="C46" s="10" t="s">
        <v>15</v>
      </c>
      <c r="D46" s="10" t="s">
        <v>16</v>
      </c>
      <c r="E46" s="10"/>
      <c r="F46" s="3"/>
      <c r="G46" s="3"/>
      <c r="H46" s="10"/>
      <c r="I46" s="28"/>
      <c r="J46" s="3"/>
      <c r="K46" s="3"/>
      <c r="P46" s="48">
        <v>2.46</v>
      </c>
    </row>
    <row r="47" spans="1:19" x14ac:dyDescent="0.25">
      <c r="A47" s="29" t="s">
        <v>17</v>
      </c>
      <c r="B47" s="10">
        <f>Q24</f>
        <v>824.3</v>
      </c>
      <c r="C47" s="10">
        <f>R24</f>
        <v>9.0833333333333339</v>
      </c>
      <c r="D47" s="10">
        <f>C47*B47</f>
        <v>7487.3916666666664</v>
      </c>
      <c r="E47" s="10"/>
      <c r="F47" s="3"/>
      <c r="G47" s="3"/>
      <c r="H47" s="10"/>
      <c r="I47" s="28"/>
      <c r="J47" s="3"/>
      <c r="K47" s="3"/>
      <c r="P47" s="48">
        <v>1.44</v>
      </c>
    </row>
    <row r="48" spans="1:19" x14ac:dyDescent="0.25">
      <c r="A48" s="30" t="s">
        <v>18</v>
      </c>
      <c r="B48" s="10">
        <f>Q25</f>
        <v>824.3</v>
      </c>
      <c r="C48" s="10">
        <f>R25</f>
        <v>8.0833333333333339</v>
      </c>
      <c r="D48" s="10">
        <f>C48*B48</f>
        <v>6663.0916666666672</v>
      </c>
      <c r="E48" s="10"/>
      <c r="F48" s="3"/>
      <c r="G48" s="3"/>
      <c r="H48" s="10"/>
      <c r="I48" s="28"/>
      <c r="J48" s="3"/>
      <c r="K48" s="3"/>
    </row>
    <row r="49" spans="1:16" x14ac:dyDescent="0.25">
      <c r="A49" s="29" t="s">
        <v>35</v>
      </c>
      <c r="B49" s="10">
        <f>Q23</f>
        <v>355.7</v>
      </c>
      <c r="C49" s="10">
        <f>R23</f>
        <v>8.0833333333333339</v>
      </c>
      <c r="D49" s="10">
        <f>C49*B49</f>
        <v>2875.2416666666668</v>
      </c>
      <c r="E49" s="10"/>
      <c r="F49" s="3"/>
      <c r="G49" s="3"/>
      <c r="H49" s="12"/>
      <c r="I49" s="28"/>
      <c r="J49" s="3"/>
      <c r="K49" s="3"/>
      <c r="P49">
        <f>AVERAGE(P39:P47)</f>
        <v>2.21</v>
      </c>
    </row>
    <row r="50" spans="1:16" x14ac:dyDescent="0.25">
      <c r="A50" s="31" t="s">
        <v>19</v>
      </c>
      <c r="B50" s="32"/>
      <c r="C50" s="32"/>
      <c r="D50" s="33"/>
      <c r="E50" s="33"/>
      <c r="F50" s="34" t="s">
        <v>20</v>
      </c>
      <c r="G50" s="35">
        <f>SUM(G51:G52)</f>
        <v>474.7638</v>
      </c>
      <c r="H50" s="33"/>
      <c r="I50" s="36"/>
      <c r="J50" s="36"/>
      <c r="K50" s="36"/>
      <c r="P50">
        <f>MEDIAN(P39:P47)</f>
        <v>2.46</v>
      </c>
    </row>
    <row r="51" spans="1:16" x14ac:dyDescent="0.25">
      <c r="A51" s="29"/>
      <c r="B51" s="11"/>
      <c r="C51" s="10"/>
      <c r="D51" s="10">
        <f>SUM(D47:D49)</f>
        <v>17025.724999999999</v>
      </c>
      <c r="E51" s="10"/>
      <c r="F51" s="10" t="s">
        <v>21</v>
      </c>
      <c r="G51" s="37">
        <v>468.66379999999998</v>
      </c>
      <c r="H51" s="26" t="s">
        <v>21</v>
      </c>
      <c r="I51" s="3"/>
      <c r="J51" s="3"/>
      <c r="K51" s="3"/>
      <c r="P51">
        <f>STDEV(P39:P47)</f>
        <v>0.75981905740774891</v>
      </c>
    </row>
    <row r="52" spans="1:16" x14ac:dyDescent="0.25">
      <c r="A52" s="29"/>
      <c r="B52" s="10"/>
      <c r="C52" s="10"/>
      <c r="D52" s="10"/>
      <c r="E52" s="10"/>
      <c r="F52" s="10" t="s">
        <v>22</v>
      </c>
      <c r="G52" s="10">
        <v>6.1</v>
      </c>
      <c r="H52" s="26" t="s">
        <v>46</v>
      </c>
      <c r="I52" s="3"/>
      <c r="J52" s="3"/>
      <c r="K52" s="3"/>
    </row>
    <row r="53" spans="1:16" x14ac:dyDescent="0.25">
      <c r="A53" s="27" t="s">
        <v>23</v>
      </c>
      <c r="B53" s="10" t="s">
        <v>24</v>
      </c>
      <c r="C53" s="10"/>
      <c r="D53" s="10"/>
      <c r="E53" s="10"/>
      <c r="F53" s="10"/>
      <c r="G53" s="10"/>
      <c r="H53" s="10"/>
      <c r="I53" s="3"/>
      <c r="J53" s="3"/>
      <c r="K53" s="3"/>
    </row>
    <row r="54" spans="1:16" x14ac:dyDescent="0.25">
      <c r="A54" s="29" t="s">
        <v>25</v>
      </c>
      <c r="B54" s="10">
        <f>B48</f>
        <v>824.3</v>
      </c>
      <c r="C54" s="10"/>
      <c r="D54" s="10"/>
      <c r="E54" s="10"/>
      <c r="F54" s="10"/>
      <c r="G54" s="3"/>
      <c r="H54" s="10"/>
      <c r="I54" s="3"/>
      <c r="J54" s="3"/>
      <c r="K54" s="3"/>
      <c r="P54" t="s">
        <v>72</v>
      </c>
    </row>
    <row r="55" spans="1:16" x14ac:dyDescent="0.25">
      <c r="A55" s="29" t="s">
        <v>26</v>
      </c>
      <c r="B55" s="10">
        <f>SUM(B54:B54)</f>
        <v>824.3</v>
      </c>
      <c r="C55" s="10"/>
      <c r="D55" s="10"/>
      <c r="E55" s="10"/>
      <c r="F55" s="10"/>
      <c r="G55" s="3"/>
      <c r="H55" s="10"/>
      <c r="I55" s="3"/>
      <c r="J55" s="3"/>
      <c r="K55" s="3"/>
    </row>
    <row r="56" spans="1:16" x14ac:dyDescent="0.25">
      <c r="A56" s="29"/>
      <c r="B56" s="10"/>
      <c r="C56" s="10"/>
      <c r="D56" s="10"/>
      <c r="E56" s="10"/>
      <c r="F56" s="10"/>
      <c r="G56" s="10"/>
      <c r="H56" s="10"/>
      <c r="I56" s="3"/>
      <c r="J56" s="3"/>
      <c r="K56" s="3"/>
    </row>
    <row r="57" spans="1:16" x14ac:dyDescent="0.25">
      <c r="A57" s="27" t="s">
        <v>35</v>
      </c>
      <c r="B57" s="10" t="s">
        <v>27</v>
      </c>
      <c r="C57" s="10" t="s">
        <v>28</v>
      </c>
      <c r="D57" s="10" t="s">
        <v>29</v>
      </c>
      <c r="E57" s="10" t="s">
        <v>15</v>
      </c>
      <c r="F57" s="10" t="s">
        <v>30</v>
      </c>
      <c r="G57" s="38" t="s">
        <v>31</v>
      </c>
      <c r="H57" s="11" t="s">
        <v>29</v>
      </c>
      <c r="I57" s="3"/>
      <c r="J57" s="3"/>
      <c r="K57" s="39"/>
    </row>
    <row r="58" spans="1:16" x14ac:dyDescent="0.25">
      <c r="A58" s="31" t="s">
        <v>35</v>
      </c>
      <c r="B58" s="33">
        <v>86</v>
      </c>
      <c r="C58" s="33">
        <f>24+10/12+4</f>
        <v>28.833333333333332</v>
      </c>
      <c r="D58" s="33">
        <f>SUM(B58:C58)</f>
        <v>114.83333333333333</v>
      </c>
      <c r="E58" s="33">
        <f>C49</f>
        <v>8.0833333333333339</v>
      </c>
      <c r="F58" s="35">
        <f>B58*E58</f>
        <v>695.16666666666674</v>
      </c>
      <c r="G58" s="40">
        <f>C58*E58</f>
        <v>233.06944444444446</v>
      </c>
      <c r="H58" s="41">
        <f>SUM(F58:G58)</f>
        <v>928.2361111111112</v>
      </c>
      <c r="I58" s="36"/>
      <c r="J58" s="36"/>
      <c r="K58" s="36"/>
    </row>
    <row r="59" spans="1:16" x14ac:dyDescent="0.25">
      <c r="A59" s="20"/>
      <c r="B59" s="12"/>
      <c r="C59" s="12"/>
      <c r="D59" s="10"/>
      <c r="E59" s="10"/>
      <c r="F59" s="10">
        <f>SUM(F58:F58)</f>
        <v>695.16666666666674</v>
      </c>
      <c r="G59" s="38">
        <f>SUM(G58:G58)</f>
        <v>233.06944444444446</v>
      </c>
      <c r="H59" s="10">
        <f>SUM(H58:H58)</f>
        <v>928.2361111111112</v>
      </c>
      <c r="I59" s="28"/>
      <c r="J59" s="28"/>
      <c r="K59" s="28"/>
    </row>
    <row r="60" spans="1:16" x14ac:dyDescent="0.25">
      <c r="A60" s="29"/>
      <c r="B60" s="10"/>
      <c r="C60" s="10"/>
      <c r="D60" s="10"/>
      <c r="E60" s="10"/>
      <c r="F60" s="10"/>
      <c r="G60" s="10"/>
      <c r="H60" s="10"/>
      <c r="I60" s="3"/>
      <c r="J60" s="3"/>
      <c r="K60" s="3"/>
    </row>
    <row r="61" spans="1:16" x14ac:dyDescent="0.25">
      <c r="A61" s="27" t="s">
        <v>32</v>
      </c>
      <c r="B61" s="10" t="s">
        <v>27</v>
      </c>
      <c r="C61" s="10" t="s">
        <v>28</v>
      </c>
      <c r="D61" s="10" t="s">
        <v>29</v>
      </c>
      <c r="E61" s="10" t="s">
        <v>15</v>
      </c>
      <c r="F61" s="10" t="s">
        <v>30</v>
      </c>
      <c r="G61" s="38" t="s">
        <v>31</v>
      </c>
      <c r="H61" s="11" t="s">
        <v>29</v>
      </c>
      <c r="I61" s="3"/>
      <c r="J61" s="3"/>
      <c r="K61" s="3"/>
    </row>
    <row r="62" spans="1:16" x14ac:dyDescent="0.25">
      <c r="A62" s="29" t="s">
        <v>17</v>
      </c>
      <c r="B62" s="10">
        <f>117+8/12</f>
        <v>117.66666666666667</v>
      </c>
      <c r="C62" s="10">
        <f>C58</f>
        <v>28.833333333333332</v>
      </c>
      <c r="D62" s="10">
        <f>SUM(B62:C62)</f>
        <v>146.5</v>
      </c>
      <c r="E62" s="10">
        <f>C47</f>
        <v>9.0833333333333339</v>
      </c>
      <c r="F62" s="17">
        <f>B62*E62</f>
        <v>1068.8055555555557</v>
      </c>
      <c r="G62" s="42">
        <f>C62*E62</f>
        <v>261.90277777777777</v>
      </c>
      <c r="H62" s="17">
        <f>SUM(F62:G62)</f>
        <v>1330.7083333333335</v>
      </c>
      <c r="I62" s="3"/>
      <c r="J62" s="3"/>
      <c r="K62" s="3"/>
    </row>
    <row r="63" spans="1:16" x14ac:dyDescent="0.25">
      <c r="A63" s="31" t="str">
        <f>A48</f>
        <v>Second floor</v>
      </c>
      <c r="B63" s="33">
        <f>B62</f>
        <v>117.66666666666667</v>
      </c>
      <c r="C63" s="33"/>
      <c r="D63" s="33">
        <f>SUM(B63:C63)</f>
        <v>117.66666666666667</v>
      </c>
      <c r="E63" s="33">
        <f>C48</f>
        <v>8.0833333333333339</v>
      </c>
      <c r="F63" s="35">
        <f>B63*E63</f>
        <v>951.13888888888903</v>
      </c>
      <c r="G63" s="40"/>
      <c r="H63" s="41">
        <f>SUM(F63:G63)</f>
        <v>951.13888888888903</v>
      </c>
      <c r="I63" s="60"/>
      <c r="J63" s="36"/>
      <c r="K63" s="36"/>
    </row>
    <row r="64" spans="1:16" x14ac:dyDescent="0.25">
      <c r="A64" s="3"/>
      <c r="B64" s="10"/>
      <c r="C64" s="10"/>
      <c r="D64" s="10"/>
      <c r="E64" s="43" t="s">
        <v>33</v>
      </c>
      <c r="F64" s="10">
        <f>SUM(F62:F63)</f>
        <v>2019.9444444444448</v>
      </c>
      <c r="G64" s="38">
        <f>SUM(G62:G63)</f>
        <v>261.90277777777777</v>
      </c>
      <c r="H64" s="10">
        <f>SUM(H62:H63)</f>
        <v>2281.8472222222226</v>
      </c>
      <c r="I64" s="3"/>
      <c r="J64" s="3"/>
      <c r="K64" s="3"/>
    </row>
    <row r="67" spans="1:18" x14ac:dyDescent="0.25">
      <c r="A67" s="65" t="s">
        <v>53</v>
      </c>
      <c r="B67" s="66"/>
      <c r="C67" s="66"/>
      <c r="D67" s="67"/>
      <c r="E67" s="66"/>
      <c r="F67" s="66"/>
      <c r="G67" s="68"/>
      <c r="H67" s="66"/>
      <c r="I67" s="69"/>
      <c r="J67" s="69"/>
      <c r="K67" s="69"/>
    </row>
    <row r="68" spans="1:18" x14ac:dyDescent="0.25">
      <c r="A68" s="4"/>
      <c r="B68" s="1"/>
      <c r="C68" s="1"/>
      <c r="D68" s="9"/>
      <c r="E68" s="1"/>
      <c r="F68" s="1"/>
      <c r="G68" s="1"/>
      <c r="H68" s="1"/>
      <c r="I68" s="3"/>
      <c r="J68" s="3"/>
      <c r="K68" s="3"/>
    </row>
    <row r="69" spans="1:18" x14ac:dyDescent="0.25">
      <c r="A69" s="49" t="s">
        <v>0</v>
      </c>
      <c r="B69" s="50">
        <f>B70+B71+B73</f>
        <v>3000</v>
      </c>
      <c r="C69" s="10"/>
      <c r="D69" s="10"/>
      <c r="E69" s="10" t="s">
        <v>1</v>
      </c>
      <c r="F69" s="11" t="s">
        <v>2</v>
      </c>
      <c r="G69" s="3"/>
      <c r="I69" s="12" t="s">
        <v>3</v>
      </c>
      <c r="J69" s="13">
        <f>SUM(B87,H91,H96,G82,B81)</f>
        <v>5089.5714285714284</v>
      </c>
    </row>
    <row r="70" spans="1:18" x14ac:dyDescent="0.25">
      <c r="A70" s="51" t="s">
        <v>4</v>
      </c>
      <c r="B70" s="52">
        <f>B79</f>
        <v>1000</v>
      </c>
      <c r="C70" s="10"/>
      <c r="D70" s="10"/>
      <c r="E70" s="14" t="s">
        <v>5</v>
      </c>
      <c r="F70" s="11">
        <v>3</v>
      </c>
      <c r="G70" s="3"/>
      <c r="I70" s="12" t="s">
        <v>48</v>
      </c>
      <c r="J70" s="57">
        <f>D83</f>
        <v>24300</v>
      </c>
    </row>
    <row r="71" spans="1:18" x14ac:dyDescent="0.25">
      <c r="A71" s="51" t="s">
        <v>6</v>
      </c>
      <c r="B71" s="52">
        <f>B80</f>
        <v>1000</v>
      </c>
      <c r="C71" s="10"/>
      <c r="D71" s="10"/>
      <c r="E71" s="10" t="s">
        <v>7</v>
      </c>
      <c r="F71" s="11">
        <v>2.5</v>
      </c>
      <c r="G71" s="3"/>
      <c r="I71" s="15" t="s">
        <v>47</v>
      </c>
      <c r="J71" s="16">
        <f>(J70*3)/60</f>
        <v>1215</v>
      </c>
    </row>
    <row r="72" spans="1:18" x14ac:dyDescent="0.25">
      <c r="A72" s="51" t="s">
        <v>8</v>
      </c>
      <c r="B72" s="52">
        <v>0</v>
      </c>
      <c r="C72" s="10"/>
      <c r="D72" s="10"/>
      <c r="E72" s="58" t="s">
        <v>9</v>
      </c>
      <c r="F72" s="59">
        <v>0</v>
      </c>
      <c r="G72" s="3"/>
      <c r="I72" s="23" t="s">
        <v>10</v>
      </c>
      <c r="J72" s="24">
        <f>J71/J69</f>
        <v>0.23872344008757404</v>
      </c>
      <c r="P72">
        <v>13.8</v>
      </c>
      <c r="Q72">
        <v>11.1</v>
      </c>
      <c r="R72">
        <v>2.7</v>
      </c>
    </row>
    <row r="73" spans="1:18" x14ac:dyDescent="0.25">
      <c r="A73" s="53" t="s">
        <v>34</v>
      </c>
      <c r="B73" s="54">
        <f>B81</f>
        <v>1000</v>
      </c>
      <c r="C73" s="10"/>
      <c r="D73" s="3"/>
      <c r="E73" s="3"/>
      <c r="F73" s="3"/>
      <c r="G73" s="3"/>
      <c r="H73" s="19"/>
      <c r="I73" s="10"/>
      <c r="J73" s="3"/>
      <c r="K73" s="3"/>
      <c r="P73">
        <v>4</v>
      </c>
      <c r="Q73">
        <v>3.1</v>
      </c>
      <c r="R73">
        <v>0.9</v>
      </c>
    </row>
    <row r="74" spans="1:18" x14ac:dyDescent="0.25">
      <c r="A74" s="55"/>
      <c r="B74" s="56">
        <f>B73+B69</f>
        <v>4000</v>
      </c>
      <c r="C74" s="10"/>
      <c r="D74" s="3"/>
      <c r="E74" s="3"/>
      <c r="F74" s="3"/>
      <c r="G74" s="3"/>
      <c r="H74" s="18"/>
      <c r="I74" s="10"/>
      <c r="J74" s="3"/>
      <c r="K74" s="3"/>
      <c r="P74">
        <v>6.2</v>
      </c>
      <c r="Q74">
        <v>2.2000000000000002</v>
      </c>
      <c r="R74">
        <v>4</v>
      </c>
    </row>
    <row r="75" spans="1:18" x14ac:dyDescent="0.25">
      <c r="A75" s="21"/>
      <c r="B75" s="22"/>
      <c r="C75" s="10"/>
      <c r="D75" s="3"/>
      <c r="E75" s="3"/>
      <c r="F75" s="18"/>
      <c r="G75" s="10"/>
      <c r="I75" s="10"/>
      <c r="J75" s="25"/>
      <c r="K75" s="25"/>
      <c r="P75">
        <v>4.0999999999999996</v>
      </c>
      <c r="Q75">
        <v>1.4</v>
      </c>
      <c r="R75">
        <v>2.7</v>
      </c>
    </row>
    <row r="76" spans="1:18" x14ac:dyDescent="0.25">
      <c r="A76" s="61" t="s">
        <v>11</v>
      </c>
      <c r="B76" s="62">
        <f>7.5*(F70+1)+0.01*B69</f>
        <v>60</v>
      </c>
      <c r="C76" s="63">
        <f>0.5*B76</f>
        <v>30</v>
      </c>
      <c r="D76" s="64" t="s">
        <v>12</v>
      </c>
      <c r="E76" s="10"/>
      <c r="F76" s="10"/>
      <c r="G76" s="10"/>
      <c r="H76" s="10"/>
      <c r="I76" s="10"/>
      <c r="J76" s="3"/>
      <c r="K76" s="3"/>
      <c r="P76">
        <v>2.6</v>
      </c>
      <c r="Q76">
        <v>0.9</v>
      </c>
      <c r="R76">
        <v>1.7</v>
      </c>
    </row>
    <row r="77" spans="1:18" x14ac:dyDescent="0.25">
      <c r="A77" s="20"/>
      <c r="B77" s="22"/>
      <c r="C77" s="10"/>
      <c r="D77" s="26"/>
      <c r="E77" s="3"/>
      <c r="F77" s="3"/>
      <c r="G77" s="3"/>
      <c r="H77" s="3"/>
      <c r="I77" s="3"/>
      <c r="J77" s="3"/>
      <c r="K77" s="3"/>
      <c r="P77">
        <v>9.6999999999999993</v>
      </c>
      <c r="Q77">
        <v>6.5</v>
      </c>
      <c r="R77">
        <v>3.2</v>
      </c>
    </row>
    <row r="78" spans="1:18" x14ac:dyDescent="0.25">
      <c r="A78" s="27" t="s">
        <v>13</v>
      </c>
      <c r="B78" s="10" t="s">
        <v>14</v>
      </c>
      <c r="C78" s="10" t="s">
        <v>15</v>
      </c>
      <c r="D78" s="10" t="s">
        <v>16</v>
      </c>
      <c r="E78" s="10"/>
      <c r="F78" s="3"/>
      <c r="G78" s="3"/>
      <c r="H78" s="10"/>
      <c r="I78" s="28"/>
      <c r="J78" s="3"/>
      <c r="K78" s="3"/>
    </row>
    <row r="79" spans="1:18" x14ac:dyDescent="0.25">
      <c r="A79" s="29" t="s">
        <v>17</v>
      </c>
      <c r="B79" s="10">
        <v>1000</v>
      </c>
      <c r="C79" s="10">
        <v>8.1</v>
      </c>
      <c r="D79" s="10">
        <f>C79*B79</f>
        <v>8100</v>
      </c>
      <c r="E79" s="10"/>
      <c r="F79" s="3"/>
      <c r="G79" s="3"/>
      <c r="H79" s="10"/>
      <c r="I79" s="28"/>
      <c r="J79" s="3"/>
      <c r="K79" s="3"/>
      <c r="P79">
        <f>AVERAGE(P72:P77)</f>
        <v>6.7333333333333343</v>
      </c>
    </row>
    <row r="80" spans="1:18" x14ac:dyDescent="0.25">
      <c r="A80" s="30" t="s">
        <v>18</v>
      </c>
      <c r="B80" s="10">
        <v>1000</v>
      </c>
      <c r="C80" s="10">
        <v>8.1</v>
      </c>
      <c r="D80" s="10">
        <f>C80*B80</f>
        <v>8100</v>
      </c>
      <c r="E80" s="10"/>
      <c r="F80" s="3"/>
      <c r="G80" s="3"/>
      <c r="H80" s="10"/>
      <c r="I80" s="28"/>
      <c r="J80" s="3"/>
      <c r="K80" s="3"/>
      <c r="P80">
        <f>STDEV(P72:P77)</f>
        <v>4.2547228660239016</v>
      </c>
    </row>
    <row r="81" spans="1:15" x14ac:dyDescent="0.25">
      <c r="A81" s="29" t="s">
        <v>35</v>
      </c>
      <c r="B81" s="10">
        <v>1000</v>
      </c>
      <c r="C81" s="10">
        <v>8.1</v>
      </c>
      <c r="D81" s="10">
        <f>C81*B81</f>
        <v>8100</v>
      </c>
      <c r="E81" s="10"/>
      <c r="F81" s="3"/>
      <c r="G81" s="3"/>
      <c r="H81" s="12"/>
      <c r="I81" s="28"/>
      <c r="J81" s="3"/>
      <c r="K81" s="3"/>
    </row>
    <row r="82" spans="1:15" x14ac:dyDescent="0.25">
      <c r="A82" s="31" t="s">
        <v>19</v>
      </c>
      <c r="B82" s="32"/>
      <c r="C82" s="32"/>
      <c r="D82" s="33"/>
      <c r="E82" s="33"/>
      <c r="F82" s="34" t="s">
        <v>20</v>
      </c>
      <c r="G82" s="35">
        <f>SUM(G83:G84)</f>
        <v>0</v>
      </c>
      <c r="H82" s="33"/>
      <c r="I82" s="36"/>
      <c r="J82" s="36"/>
      <c r="K82" s="36"/>
    </row>
    <row r="83" spans="1:15" x14ac:dyDescent="0.25">
      <c r="A83" s="29"/>
      <c r="B83" s="11"/>
      <c r="C83" s="10"/>
      <c r="D83" s="10">
        <f>SUM(D79:D81)</f>
        <v>24300</v>
      </c>
      <c r="E83" s="10"/>
      <c r="F83" s="10" t="s">
        <v>21</v>
      </c>
      <c r="G83" s="37">
        <v>0</v>
      </c>
      <c r="H83" s="26" t="s">
        <v>21</v>
      </c>
      <c r="I83" s="3"/>
      <c r="J83" s="3"/>
      <c r="K83" s="3"/>
    </row>
    <row r="84" spans="1:15" x14ac:dyDescent="0.25">
      <c r="A84" s="29"/>
      <c r="B84" s="10"/>
      <c r="C84" s="10"/>
      <c r="D84" s="10"/>
      <c r="E84" s="10"/>
      <c r="F84" s="10" t="s">
        <v>22</v>
      </c>
      <c r="G84" s="10">
        <v>0</v>
      </c>
      <c r="H84" s="26" t="s">
        <v>46</v>
      </c>
      <c r="I84" s="3"/>
      <c r="J84" s="3"/>
      <c r="K84" s="3"/>
      <c r="N84">
        <v>35</v>
      </c>
      <c r="O84" t="s">
        <v>51</v>
      </c>
    </row>
    <row r="85" spans="1:15" x14ac:dyDescent="0.25">
      <c r="A85" s="27" t="s">
        <v>23</v>
      </c>
      <c r="B85" s="10" t="s">
        <v>24</v>
      </c>
      <c r="C85" s="10"/>
      <c r="D85" s="10"/>
      <c r="E85" s="10"/>
      <c r="F85" s="10"/>
      <c r="G85" s="10"/>
      <c r="H85" s="10"/>
      <c r="I85" s="3"/>
      <c r="J85" s="3"/>
      <c r="K85" s="3"/>
      <c r="N85">
        <f>N86/N84</f>
        <v>28.571428571428573</v>
      </c>
      <c r="O85" t="s">
        <v>52</v>
      </c>
    </row>
    <row r="86" spans="1:15" x14ac:dyDescent="0.25">
      <c r="A86" s="29" t="s">
        <v>25</v>
      </c>
      <c r="B86" s="10">
        <f>B80</f>
        <v>1000</v>
      </c>
      <c r="C86" s="10"/>
      <c r="D86" s="10"/>
      <c r="E86" s="10"/>
      <c r="F86" s="10"/>
      <c r="G86" s="3"/>
      <c r="H86" s="10"/>
      <c r="I86" s="3"/>
      <c r="J86" s="3"/>
      <c r="K86" s="3"/>
      <c r="N86">
        <v>1000</v>
      </c>
      <c r="O86" t="s">
        <v>24</v>
      </c>
    </row>
    <row r="87" spans="1:15" x14ac:dyDescent="0.25">
      <c r="A87" s="29" t="s">
        <v>26</v>
      </c>
      <c r="B87" s="10">
        <f>SUM(B86:B86)</f>
        <v>1000</v>
      </c>
      <c r="C87" s="10"/>
      <c r="D87" s="10"/>
      <c r="E87" s="10"/>
      <c r="F87" s="10"/>
      <c r="G87" s="3"/>
      <c r="H87" s="10"/>
      <c r="I87" s="3"/>
      <c r="J87" s="3"/>
      <c r="K87" s="3"/>
    </row>
    <row r="88" spans="1:15" x14ac:dyDescent="0.25">
      <c r="A88" s="29"/>
      <c r="B88" s="10"/>
      <c r="C88" s="10"/>
      <c r="D88" s="10"/>
      <c r="E88" s="10"/>
      <c r="F88" s="10"/>
      <c r="G88" s="10"/>
      <c r="H88" s="10"/>
      <c r="I88" s="3"/>
      <c r="J88" s="3"/>
      <c r="K88" s="3"/>
    </row>
    <row r="89" spans="1:15" x14ac:dyDescent="0.25">
      <c r="A89" s="27" t="s">
        <v>35</v>
      </c>
      <c r="B89" s="10" t="s">
        <v>27</v>
      </c>
      <c r="C89" s="10" t="s">
        <v>28</v>
      </c>
      <c r="D89" s="10" t="s">
        <v>29</v>
      </c>
      <c r="E89" s="10" t="s">
        <v>15</v>
      </c>
      <c r="F89" s="10" t="s">
        <v>30</v>
      </c>
      <c r="G89" s="38" t="s">
        <v>31</v>
      </c>
      <c r="H89" s="11" t="s">
        <v>29</v>
      </c>
      <c r="I89" s="3"/>
      <c r="J89" s="3"/>
      <c r="K89" s="39"/>
    </row>
    <row r="90" spans="1:15" x14ac:dyDescent="0.25">
      <c r="A90" s="31" t="s">
        <v>35</v>
      </c>
      <c r="B90" s="33">
        <f>(N84+N85)*2</f>
        <v>127.14285714285714</v>
      </c>
      <c r="C90" s="33"/>
      <c r="D90" s="33">
        <f>SUM(B90:C90)</f>
        <v>127.14285714285714</v>
      </c>
      <c r="E90" s="33">
        <f>C81</f>
        <v>8.1</v>
      </c>
      <c r="F90" s="35">
        <f>B90*E90</f>
        <v>1029.8571428571429</v>
      </c>
      <c r="G90" s="40">
        <f>C90*E90</f>
        <v>0</v>
      </c>
      <c r="H90" s="41">
        <f>SUM(F90:G90)</f>
        <v>1029.8571428571429</v>
      </c>
      <c r="I90" s="36"/>
      <c r="J90" s="36"/>
      <c r="K90" s="36"/>
    </row>
    <row r="91" spans="1:15" x14ac:dyDescent="0.25">
      <c r="A91" s="20"/>
      <c r="B91" s="12"/>
      <c r="C91" s="12"/>
      <c r="D91" s="10"/>
      <c r="E91" s="10"/>
      <c r="F91" s="10">
        <f>SUM(F90:F90)</f>
        <v>1029.8571428571429</v>
      </c>
      <c r="G91" s="38">
        <f>SUM(G90:G90)</f>
        <v>0</v>
      </c>
      <c r="H91" s="10">
        <f>SUM(H90:H90)</f>
        <v>1029.8571428571429</v>
      </c>
      <c r="I91" s="28"/>
      <c r="J91" s="28"/>
      <c r="K91" s="28"/>
    </row>
    <row r="92" spans="1:15" x14ac:dyDescent="0.25">
      <c r="A92" s="29"/>
      <c r="B92" s="10"/>
      <c r="C92" s="10"/>
      <c r="D92" s="10"/>
      <c r="E92" s="10"/>
      <c r="F92" s="10"/>
      <c r="G92" s="10"/>
      <c r="H92" s="10"/>
      <c r="I92" s="3"/>
      <c r="J92" s="3"/>
      <c r="K92" s="3"/>
    </row>
    <row r="93" spans="1:15" x14ac:dyDescent="0.25">
      <c r="A93" s="27" t="s">
        <v>32</v>
      </c>
      <c r="B93" s="10" t="s">
        <v>27</v>
      </c>
      <c r="C93" s="10" t="s">
        <v>28</v>
      </c>
      <c r="D93" s="10" t="s">
        <v>29</v>
      </c>
      <c r="E93" s="10" t="s">
        <v>15</v>
      </c>
      <c r="F93" s="10" t="s">
        <v>30</v>
      </c>
      <c r="G93" s="38" t="s">
        <v>31</v>
      </c>
      <c r="H93" s="11" t="s">
        <v>29</v>
      </c>
      <c r="I93" s="3"/>
      <c r="J93" s="3"/>
      <c r="K93" s="3"/>
    </row>
    <row r="94" spans="1:15" x14ac:dyDescent="0.25">
      <c r="A94" s="29" t="s">
        <v>17</v>
      </c>
      <c r="B94" s="10">
        <f>B90</f>
        <v>127.14285714285714</v>
      </c>
      <c r="C94" s="10"/>
      <c r="D94" s="10">
        <f>SUM(B94:C94)</f>
        <v>127.14285714285714</v>
      </c>
      <c r="E94" s="10">
        <f>C79</f>
        <v>8.1</v>
      </c>
      <c r="F94" s="17">
        <f>B94*E94</f>
        <v>1029.8571428571429</v>
      </c>
      <c r="G94" s="42">
        <f>C94*E94</f>
        <v>0</v>
      </c>
      <c r="H94" s="17">
        <f>SUM(F94:G94)</f>
        <v>1029.8571428571429</v>
      </c>
      <c r="I94" s="3"/>
      <c r="J94" s="3"/>
      <c r="K94" s="3"/>
    </row>
    <row r="95" spans="1:15" x14ac:dyDescent="0.25">
      <c r="A95" s="31" t="str">
        <f>A80</f>
        <v>Second floor</v>
      </c>
      <c r="B95" s="33">
        <f>B94</f>
        <v>127.14285714285714</v>
      </c>
      <c r="C95" s="33"/>
      <c r="D95" s="33">
        <f>SUM(B95:C95)</f>
        <v>127.14285714285714</v>
      </c>
      <c r="E95" s="33">
        <f>C80</f>
        <v>8.1</v>
      </c>
      <c r="F95" s="35">
        <f>B95*E95</f>
        <v>1029.8571428571429</v>
      </c>
      <c r="G95" s="40"/>
      <c r="H95" s="41">
        <f>SUM(F95:G95)</f>
        <v>1029.8571428571429</v>
      </c>
      <c r="I95" s="60"/>
      <c r="J95" s="36"/>
      <c r="K95" s="36"/>
    </row>
    <row r="96" spans="1:15" x14ac:dyDescent="0.25">
      <c r="A96" s="3"/>
      <c r="B96" s="10"/>
      <c r="C96" s="10"/>
      <c r="D96" s="10"/>
      <c r="E96" s="43" t="s">
        <v>33</v>
      </c>
      <c r="F96" s="10">
        <f>SUM(F94:F95)</f>
        <v>2059.7142857142858</v>
      </c>
      <c r="G96" s="38">
        <f>SUM(G94:G95)</f>
        <v>0</v>
      </c>
      <c r="H96" s="10">
        <f>SUM(H94:H95)</f>
        <v>2059.7142857142858</v>
      </c>
      <c r="I96" s="3"/>
      <c r="J96" s="3"/>
      <c r="K96" s="3"/>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heetViews>
  <sheetFormatPr defaultRowHeight="15" x14ac:dyDescent="0.25"/>
  <cols>
    <col min="2" max="2" width="11.140625" style="74" customWidth="1"/>
    <col min="3" max="4" width="9.140625" style="75"/>
    <col min="5" max="5" width="9.140625" style="84"/>
    <col min="6" max="6" width="13.28515625" style="74" customWidth="1"/>
    <col min="7" max="7" width="11.42578125" style="79" customWidth="1"/>
    <col min="8" max="8" width="10.85546875" customWidth="1"/>
  </cols>
  <sheetData>
    <row r="1" spans="1:7" x14ac:dyDescent="0.25">
      <c r="A1" s="71" t="s">
        <v>57</v>
      </c>
    </row>
    <row r="3" spans="1:7" s="76" customFormat="1" ht="30" x14ac:dyDescent="0.25">
      <c r="A3" s="76" t="s">
        <v>58</v>
      </c>
      <c r="B3" s="77" t="s">
        <v>59</v>
      </c>
      <c r="C3" s="78" t="s">
        <v>74</v>
      </c>
      <c r="D3" s="85" t="s">
        <v>76</v>
      </c>
      <c r="E3" s="86" t="s">
        <v>77</v>
      </c>
      <c r="F3" s="80" t="s">
        <v>75</v>
      </c>
      <c r="G3" s="81" t="s">
        <v>78</v>
      </c>
    </row>
    <row r="4" spans="1:7" x14ac:dyDescent="0.25">
      <c r="A4">
        <v>14078</v>
      </c>
      <c r="B4" s="74">
        <v>4.76</v>
      </c>
      <c r="C4" s="75">
        <v>1177</v>
      </c>
      <c r="D4" s="87">
        <f>'Area Takeoffs'!$J$37</f>
        <v>4864.8471333333337</v>
      </c>
      <c r="E4" s="87">
        <f>'Area Takeoffs'!$J$38</f>
        <v>17025.724999999999</v>
      </c>
      <c r="F4" s="82">
        <f>(C4/E4)*60</f>
        <v>4.1478409876818763</v>
      </c>
      <c r="G4" s="83">
        <f>C4/D4</f>
        <v>0.24193977071454947</v>
      </c>
    </row>
    <row r="5" spans="1:7" x14ac:dyDescent="0.25">
      <c r="A5">
        <v>14079</v>
      </c>
      <c r="B5" s="74">
        <v>4.2699999999999996</v>
      </c>
      <c r="C5" s="75">
        <v>1055</v>
      </c>
      <c r="D5" s="87">
        <f>'Area Takeoffs'!$J$5</f>
        <v>4349.8277888888888</v>
      </c>
      <c r="E5" s="87">
        <f>'Area Takeoffs'!$J$6</f>
        <v>14375.591666666667</v>
      </c>
      <c r="F5" s="82">
        <f t="shared" ref="F5:F12" si="0">(C5/E5)*60</f>
        <v>4.4032970237167053</v>
      </c>
      <c r="G5" s="83">
        <f t="shared" ref="G5:G12" si="1">C5/D5</f>
        <v>0.24253833742449998</v>
      </c>
    </row>
    <row r="6" spans="1:7" x14ac:dyDescent="0.25">
      <c r="A6">
        <v>14080</v>
      </c>
      <c r="B6" s="74">
        <v>4.54</v>
      </c>
      <c r="C6" s="75">
        <v>1123</v>
      </c>
      <c r="D6" s="87">
        <f>'Area Takeoffs'!$J$5</f>
        <v>4349.8277888888888</v>
      </c>
      <c r="E6" s="87">
        <f>'Area Takeoffs'!$J$6</f>
        <v>14375.591666666667</v>
      </c>
      <c r="F6" s="82">
        <f t="shared" si="0"/>
        <v>4.6871114290368334</v>
      </c>
      <c r="G6" s="83">
        <f t="shared" si="1"/>
        <v>0.25817114021584214</v>
      </c>
    </row>
    <row r="7" spans="1:7" x14ac:dyDescent="0.25">
      <c r="A7">
        <v>14081</v>
      </c>
      <c r="B7" s="74">
        <v>5.51</v>
      </c>
      <c r="C7" s="75">
        <v>1362</v>
      </c>
      <c r="D7" s="87">
        <f>'Area Takeoffs'!$J$37</f>
        <v>4864.8471333333337</v>
      </c>
      <c r="E7" s="87">
        <f>'Area Takeoffs'!$J$38</f>
        <v>17025.724999999999</v>
      </c>
      <c r="F7" s="82">
        <f t="shared" si="0"/>
        <v>4.7997956034177696</v>
      </c>
      <c r="G7" s="83">
        <f t="shared" si="1"/>
        <v>0.27996768709704023</v>
      </c>
    </row>
    <row r="8" spans="1:7" x14ac:dyDescent="0.25">
      <c r="D8" s="88"/>
      <c r="E8" s="87"/>
      <c r="F8" s="82"/>
      <c r="G8" s="83"/>
    </row>
    <row r="9" spans="1:7" x14ac:dyDescent="0.25">
      <c r="A9">
        <v>15082</v>
      </c>
      <c r="B9" s="74">
        <v>4.4400000000000004</v>
      </c>
      <c r="C9" s="75">
        <v>1336</v>
      </c>
      <c r="D9" s="87">
        <f>'Area Takeoffs'!$J$37</f>
        <v>4864.8471333333337</v>
      </c>
      <c r="E9" s="87">
        <f>'Area Takeoffs'!$J$38</f>
        <v>17025.724999999999</v>
      </c>
      <c r="F9" s="82">
        <f t="shared" si="0"/>
        <v>4.7081695493143467</v>
      </c>
      <c r="G9" s="83">
        <f t="shared" si="1"/>
        <v>0.27462322317301452</v>
      </c>
    </row>
    <row r="10" spans="1:7" x14ac:dyDescent="0.25">
      <c r="A10">
        <v>15083</v>
      </c>
      <c r="B10" s="74">
        <v>5.34</v>
      </c>
      <c r="C10" s="75">
        <v>1320</v>
      </c>
      <c r="D10" s="87">
        <f>'Area Takeoffs'!$J$5</f>
        <v>4349.8277888888888</v>
      </c>
      <c r="E10" s="87">
        <f>'Area Takeoffs'!$J$6</f>
        <v>14375.591666666667</v>
      </c>
      <c r="F10" s="82">
        <f t="shared" si="0"/>
        <v>5.509338456214266</v>
      </c>
      <c r="G10" s="83">
        <f t="shared" si="1"/>
        <v>0.30346028947899523</v>
      </c>
    </row>
    <row r="11" spans="1:7" x14ac:dyDescent="0.25">
      <c r="A11">
        <v>15084</v>
      </c>
      <c r="B11" s="74">
        <v>5.71</v>
      </c>
      <c r="C11" s="75">
        <v>1396</v>
      </c>
      <c r="D11" s="87">
        <f>'Area Takeoffs'!$J$5</f>
        <v>4349.8277888888888</v>
      </c>
      <c r="E11" s="87">
        <f>'Area Takeoffs'!$J$6</f>
        <v>14375.591666666667</v>
      </c>
      <c r="F11" s="82">
        <f t="shared" si="0"/>
        <v>5.8265427915720567</v>
      </c>
      <c r="G11" s="83">
        <f t="shared" si="1"/>
        <v>0.32093224553990707</v>
      </c>
    </row>
    <row r="12" spans="1:7" x14ac:dyDescent="0.25">
      <c r="A12">
        <v>15085</v>
      </c>
      <c r="B12" s="74">
        <v>4.63</v>
      </c>
      <c r="C12" s="75">
        <v>1329</v>
      </c>
      <c r="D12" s="87">
        <f>'Area Takeoffs'!$J$37</f>
        <v>4864.8471333333337</v>
      </c>
      <c r="E12" s="87">
        <f>'Area Takeoffs'!$J$38</f>
        <v>17025.724999999999</v>
      </c>
      <c r="F12" s="82">
        <f t="shared" si="0"/>
        <v>4.6835009962865017</v>
      </c>
      <c r="G12" s="83">
        <f t="shared" si="1"/>
        <v>0.27318432903962298</v>
      </c>
    </row>
    <row r="13" spans="1:7" x14ac:dyDescent="0.25">
      <c r="D13" s="88"/>
      <c r="E13" s="87"/>
      <c r="F13" s="82"/>
      <c r="G13" s="83"/>
    </row>
    <row r="14" spans="1:7" x14ac:dyDescent="0.25">
      <c r="A14" t="s">
        <v>60</v>
      </c>
      <c r="B14" s="74">
        <f>AVERAGE(B4:B12)</f>
        <v>4.9000000000000004</v>
      </c>
      <c r="C14" s="74">
        <f>AVERAGE(C4:C12)</f>
        <v>1262.25</v>
      </c>
      <c r="D14" s="88"/>
      <c r="E14" s="87"/>
      <c r="F14" s="82">
        <f>AVERAGE(F4:F12)</f>
        <v>4.8456996046550449</v>
      </c>
      <c r="G14" s="83">
        <f>AVERAGE(G4:G12)</f>
        <v>0.27435212783543395</v>
      </c>
    </row>
    <row r="15" spans="1:7" x14ac:dyDescent="0.25">
      <c r="A15" t="s">
        <v>61</v>
      </c>
      <c r="B15" s="74">
        <f>STDEV(B4:B12)</f>
        <v>0.54147945482722859</v>
      </c>
      <c r="C15" s="74">
        <f>STDEV(C4:C12)</f>
        <v>125.7432190730663</v>
      </c>
      <c r="D15" s="88"/>
      <c r="E15" s="87"/>
      <c r="F15" s="82">
        <f>STDEV(F4:F12)</f>
        <v>0.55519325682647669</v>
      </c>
      <c r="G15" s="83">
        <f>STDEV(G4:G12)</f>
        <v>2.7708860643041337E-2</v>
      </c>
    </row>
    <row r="20" spans="1:4" x14ac:dyDescent="0.25">
      <c r="A20" s="48" t="s">
        <v>41</v>
      </c>
      <c r="B20" s="46"/>
      <c r="C20" s="46"/>
      <c r="D20" s="47">
        <v>1350</v>
      </c>
    </row>
    <row r="21" spans="1:4" x14ac:dyDescent="0.25">
      <c r="A21" s="48"/>
      <c r="B21" s="46"/>
      <c r="C21" s="46"/>
      <c r="D21" s="47"/>
    </row>
  </sheetData>
  <sortState ref="A25:B41">
    <sortCondition ref="A25"/>
  </sortState>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heetViews>
  <sheetFormatPr defaultRowHeight="15" x14ac:dyDescent="0.25"/>
  <cols>
    <col min="2" max="2" width="14.28515625" style="74" customWidth="1"/>
    <col min="3" max="4" width="9.140625" style="75"/>
    <col min="5" max="5" width="9.140625" style="84"/>
    <col min="6" max="6" width="13.28515625" style="74" customWidth="1"/>
    <col min="7" max="7" width="11.42578125" style="79" customWidth="1"/>
    <col min="8" max="8" width="11.140625" customWidth="1"/>
    <col min="13" max="13" width="15.42578125" customWidth="1"/>
  </cols>
  <sheetData>
    <row r="1" spans="1:13" x14ac:dyDescent="0.25">
      <c r="A1" s="71" t="s">
        <v>117</v>
      </c>
    </row>
    <row r="3" spans="1:13" x14ac:dyDescent="0.25">
      <c r="A3" s="48" t="s">
        <v>41</v>
      </c>
      <c r="B3" s="46"/>
      <c r="C3" s="46"/>
      <c r="D3" s="47">
        <v>1350</v>
      </c>
    </row>
    <row r="4" spans="1:13" x14ac:dyDescent="0.25">
      <c r="A4" s="71" t="s">
        <v>118</v>
      </c>
    </row>
    <row r="5" spans="1:13" s="94" customFormat="1" ht="30" x14ac:dyDescent="0.25">
      <c r="A5" s="76" t="s">
        <v>138</v>
      </c>
      <c r="B5" s="95" t="s">
        <v>116</v>
      </c>
      <c r="C5" s="96" t="s">
        <v>77</v>
      </c>
      <c r="D5" s="78" t="s">
        <v>74</v>
      </c>
      <c r="E5" s="77" t="s">
        <v>115</v>
      </c>
      <c r="F5" s="97" t="s">
        <v>78</v>
      </c>
      <c r="H5" s="94" t="s">
        <v>162</v>
      </c>
    </row>
    <row r="6" spans="1:13" x14ac:dyDescent="0.25">
      <c r="A6">
        <v>6700</v>
      </c>
      <c r="B6" s="98">
        <f>'Area Takeoffs'!$J$37</f>
        <v>4864.8471333333337</v>
      </c>
      <c r="C6" s="98">
        <f>'Area Takeoffs'!$J$38</f>
        <v>17025.724999999999</v>
      </c>
      <c r="D6" s="75">
        <v>1115</v>
      </c>
      <c r="E6" s="74">
        <f>(D6/C6)*60</f>
        <v>3.9293480894352522</v>
      </c>
      <c r="F6" s="99">
        <f>D6/B6</f>
        <v>0.22919527981879581</v>
      </c>
      <c r="H6" t="s">
        <v>163</v>
      </c>
      <c r="I6" t="s">
        <v>16</v>
      </c>
    </row>
    <row r="7" spans="1:13" x14ac:dyDescent="0.25">
      <c r="A7">
        <v>6702</v>
      </c>
      <c r="B7" s="98">
        <f>'Area Takeoffs'!$J$5</f>
        <v>4349.8277888888888</v>
      </c>
      <c r="C7" s="98">
        <f>'Area Takeoffs'!$J$6</f>
        <v>14375.591666666667</v>
      </c>
      <c r="D7" s="75">
        <v>1408</v>
      </c>
      <c r="E7" s="74">
        <f>(D7/C7)*60</f>
        <v>5.8766276866285505</v>
      </c>
      <c r="F7" s="99">
        <f>D7/B7</f>
        <v>0.32369097544426162</v>
      </c>
      <c r="H7" s="100">
        <f>B6/B7</f>
        <v>1.1183999389033286</v>
      </c>
      <c r="I7" s="100">
        <f>C6/C7</f>
        <v>1.1843495137301594</v>
      </c>
    </row>
    <row r="8" spans="1:13" x14ac:dyDescent="0.25">
      <c r="A8">
        <v>6704</v>
      </c>
      <c r="B8" s="98">
        <f>'Area Takeoffs'!$J$5</f>
        <v>4349.8277888888888</v>
      </c>
      <c r="C8" s="98">
        <f>'Area Takeoffs'!$J$6</f>
        <v>14375.591666666667</v>
      </c>
      <c r="D8" s="75">
        <v>1271</v>
      </c>
      <c r="E8" s="74">
        <f>(D8/C8)*60</f>
        <v>5.3048251347335853</v>
      </c>
      <c r="F8" s="99">
        <f>D8/B8</f>
        <v>0.29219547570288101</v>
      </c>
    </row>
    <row r="9" spans="1:13" x14ac:dyDescent="0.25">
      <c r="A9">
        <v>6706</v>
      </c>
      <c r="B9" s="98">
        <f>'Area Takeoffs'!$J$5</f>
        <v>4349.8277888888888</v>
      </c>
      <c r="C9" s="98">
        <f>'Area Takeoffs'!$J$6</f>
        <v>14375.591666666667</v>
      </c>
      <c r="D9" s="75">
        <v>1307</v>
      </c>
      <c r="E9" s="74">
        <f>(D9/C9)*60</f>
        <v>5.455079819903065</v>
      </c>
      <c r="F9" s="99">
        <f>D9/B9</f>
        <v>0.30047166541594456</v>
      </c>
    </row>
    <row r="10" spans="1:13" x14ac:dyDescent="0.25">
      <c r="A10">
        <v>6708</v>
      </c>
      <c r="B10" s="98">
        <f>'Area Takeoffs'!$J$37</f>
        <v>4864.8471333333337</v>
      </c>
      <c r="C10" s="98">
        <f>'Area Takeoffs'!$J$38</f>
        <v>17025.724999999999</v>
      </c>
      <c r="D10" s="75">
        <v>1117</v>
      </c>
      <c r="E10" s="74">
        <f>(D10/C10)*60</f>
        <v>3.9363962474432075</v>
      </c>
      <c r="F10" s="99">
        <f>D10/B10</f>
        <v>0.22960639242833625</v>
      </c>
    </row>
    <row r="12" spans="1:13" s="119" customFormat="1" x14ac:dyDescent="0.25">
      <c r="A12" s="116" t="s">
        <v>119</v>
      </c>
      <c r="B12" s="117"/>
      <c r="C12" s="118"/>
      <c r="D12" s="118"/>
      <c r="E12" s="98"/>
      <c r="F12" s="117"/>
      <c r="G12" s="99"/>
    </row>
    <row r="13" spans="1:13" s="119" customFormat="1" ht="30" x14ac:dyDescent="0.25">
      <c r="A13" s="120" t="s">
        <v>138</v>
      </c>
      <c r="B13" s="95" t="s">
        <v>116</v>
      </c>
      <c r="C13" s="96" t="s">
        <v>77</v>
      </c>
      <c r="D13" s="95" t="s">
        <v>74</v>
      </c>
      <c r="E13" s="121" t="s">
        <v>115</v>
      </c>
      <c r="F13" s="97" t="s">
        <v>78</v>
      </c>
      <c r="G13" s="97" t="s">
        <v>120</v>
      </c>
      <c r="H13" s="97" t="s">
        <v>121</v>
      </c>
    </row>
    <row r="14" spans="1:13" s="119" customFormat="1" x14ac:dyDescent="0.25">
      <c r="A14" s="119">
        <v>6700</v>
      </c>
      <c r="B14" s="98">
        <f>'Area Takeoffs'!$J$37</f>
        <v>4864.8471333333337</v>
      </c>
      <c r="C14" s="98">
        <f>'Area Takeoffs'!$J$38</f>
        <v>17025.724999999999</v>
      </c>
      <c r="D14" s="98">
        <f>'Multi-Door Test-Not Nulled'!B17</f>
        <v>1085.0477722916723</v>
      </c>
      <c r="E14" s="117">
        <f>(D14/C14)*60</f>
        <v>3.8237940726459723</v>
      </c>
      <c r="F14" s="99">
        <f>D14/B14</f>
        <v>0.22303841057143575</v>
      </c>
      <c r="G14" s="98">
        <f>D14-D6</f>
        <v>-29.952227708327655</v>
      </c>
      <c r="H14" s="122">
        <f>-(1-D14/D6)</f>
        <v>-2.6862984491773712E-2</v>
      </c>
      <c r="I14" s="122">
        <f>ABS(H14)</f>
        <v>2.6862984491773712E-2</v>
      </c>
    </row>
    <row r="15" spans="1:13" s="119" customFormat="1" x14ac:dyDescent="0.25">
      <c r="A15" s="119">
        <v>6702</v>
      </c>
      <c r="B15" s="98">
        <f>'Area Takeoffs'!$J$5</f>
        <v>4349.8277888888888</v>
      </c>
      <c r="C15" s="98">
        <f>'Area Takeoffs'!$J$6</f>
        <v>14375.591666666667</v>
      </c>
      <c r="D15" s="98">
        <f>'Multi-Door Test-Not Nulled'!B30</f>
        <v>1328.7462867260103</v>
      </c>
      <c r="E15" s="117">
        <f>(D15/C15)*60</f>
        <v>5.5458431939481185</v>
      </c>
      <c r="F15" s="99">
        <f>D15/B15</f>
        <v>0.30547100970758723</v>
      </c>
      <c r="G15" s="98">
        <f t="shared" ref="G15:G18" si="0">D15-D7</f>
        <v>-79.253713273989661</v>
      </c>
      <c r="H15" s="122">
        <f t="shared" ref="H15:H18" si="1">-(1-D15/D7)</f>
        <v>-5.628814863209497E-2</v>
      </c>
      <c r="I15" s="122">
        <f t="shared" ref="I15:I18" si="2">ABS(H15)</f>
        <v>5.628814863209497E-2</v>
      </c>
    </row>
    <row r="16" spans="1:13" s="119" customFormat="1" x14ac:dyDescent="0.25">
      <c r="A16" s="119">
        <v>6704</v>
      </c>
      <c r="B16" s="98">
        <f>'Area Takeoffs'!$J$5</f>
        <v>4349.8277888888888</v>
      </c>
      <c r="C16" s="98">
        <f>'Area Takeoffs'!$J$6</f>
        <v>14375.591666666667</v>
      </c>
      <c r="D16" s="98">
        <f>'Multi-Door Test-Not Nulled'!B43</f>
        <v>1254.5309049504037</v>
      </c>
      <c r="E16" s="117">
        <f>(D16/C16)*60</f>
        <v>5.2360873932973808</v>
      </c>
      <c r="F16" s="99">
        <f>D16/B16</f>
        <v>0.28840932695196619</v>
      </c>
      <c r="G16" s="98">
        <f t="shared" si="0"/>
        <v>-16.469095049596262</v>
      </c>
      <c r="H16" s="122">
        <f t="shared" si="1"/>
        <v>-1.2957588552003352E-2</v>
      </c>
      <c r="I16" s="122">
        <f t="shared" si="2"/>
        <v>1.2957588552003352E-2</v>
      </c>
      <c r="J16" s="134">
        <f>AVERAGE(J22,J26)</f>
        <v>-128.59143406573355</v>
      </c>
      <c r="M16" s="133">
        <f t="shared" ref="M16:M17" si="3">ABS(J16*0.103)</f>
        <v>13.244917708770554</v>
      </c>
    </row>
    <row r="17" spans="1:15" s="119" customFormat="1" x14ac:dyDescent="0.25">
      <c r="A17" s="119">
        <v>6706</v>
      </c>
      <c r="B17" s="98">
        <f>'Area Takeoffs'!$J$5</f>
        <v>4349.8277888888888</v>
      </c>
      <c r="C17" s="98">
        <f>'Area Takeoffs'!$J$6</f>
        <v>14375.591666666667</v>
      </c>
      <c r="D17" s="98">
        <f>'Multi-Door Test-Not Nulled'!B56</f>
        <v>1330.166189084659</v>
      </c>
      <c r="E17" s="117">
        <f>(D17/C17)*60</f>
        <v>5.5517694990000672</v>
      </c>
      <c r="F17" s="99">
        <f>D17/B17</f>
        <v>0.30579743696575951</v>
      </c>
      <c r="G17" s="98">
        <f t="shared" si="0"/>
        <v>23.166189084658981</v>
      </c>
      <c r="H17" s="122">
        <f t="shared" si="1"/>
        <v>1.7724704731950203E-2</v>
      </c>
      <c r="I17" s="122">
        <f t="shared" si="2"/>
        <v>1.7724704731950203E-2</v>
      </c>
      <c r="J17" s="134">
        <f>AVERAGE(J23:J25)</f>
        <v>-255.44020744587249</v>
      </c>
      <c r="M17" s="133">
        <f t="shared" si="3"/>
        <v>26.310341366924863</v>
      </c>
    </row>
    <row r="18" spans="1:15" s="119" customFormat="1" x14ac:dyDescent="0.25">
      <c r="A18" s="119">
        <v>6708</v>
      </c>
      <c r="B18" s="98">
        <f>'Area Takeoffs'!$J$37</f>
        <v>4864.8471333333337</v>
      </c>
      <c r="C18" s="98">
        <f>'Area Takeoffs'!$J$38</f>
        <v>17025.724999999999</v>
      </c>
      <c r="D18" s="98">
        <f>'Multi-Door Test-Not Nulled'!B69</f>
        <v>1113.4291507888829</v>
      </c>
      <c r="E18" s="117">
        <f>(D18/C18)*60</f>
        <v>3.9238122927119394</v>
      </c>
      <c r="F18" s="99">
        <f>D18/B18</f>
        <v>0.22887238185960734</v>
      </c>
      <c r="G18" s="98">
        <f t="shared" si="0"/>
        <v>-3.5708492111170926</v>
      </c>
      <c r="H18" s="122">
        <f t="shared" si="1"/>
        <v>-3.1968211379741485E-3</v>
      </c>
      <c r="I18" s="122">
        <f t="shared" si="2"/>
        <v>3.1968211379741485E-3</v>
      </c>
    </row>
    <row r="19" spans="1:15" s="119" customFormat="1" x14ac:dyDescent="0.25">
      <c r="B19" s="117"/>
      <c r="C19" s="118"/>
      <c r="D19" s="118"/>
      <c r="E19" s="98"/>
      <c r="F19" s="117"/>
      <c r="G19" s="99"/>
      <c r="H19" s="123">
        <f>AVERAGE(H14:H18)</f>
        <v>-1.6316167616379197E-2</v>
      </c>
      <c r="I19" s="122">
        <f>AVERAGE(I14:I18)</f>
        <v>2.3406049509159275E-2</v>
      </c>
    </row>
    <row r="20" spans="1:15" s="119" customFormat="1" x14ac:dyDescent="0.25">
      <c r="A20" s="116" t="s">
        <v>156</v>
      </c>
      <c r="B20" s="117"/>
      <c r="C20" s="118"/>
      <c r="D20" s="118"/>
      <c r="E20" s="98"/>
      <c r="F20" s="117"/>
      <c r="G20" s="99"/>
      <c r="J20" s="138" t="s">
        <v>161</v>
      </c>
      <c r="K20" s="138"/>
    </row>
    <row r="21" spans="1:15" s="119" customFormat="1" ht="30" x14ac:dyDescent="0.25">
      <c r="A21" s="120" t="s">
        <v>138</v>
      </c>
      <c r="B21" s="95" t="s">
        <v>116</v>
      </c>
      <c r="C21" s="96" t="s">
        <v>77</v>
      </c>
      <c r="D21" s="95" t="s">
        <v>74</v>
      </c>
      <c r="E21" s="121" t="s">
        <v>115</v>
      </c>
      <c r="F21" s="97" t="s">
        <v>78</v>
      </c>
      <c r="G21" s="124" t="s">
        <v>120</v>
      </c>
      <c r="H21" s="124" t="s">
        <v>121</v>
      </c>
      <c r="J21" s="97" t="s">
        <v>120</v>
      </c>
      <c r="K21" s="97" t="s">
        <v>121</v>
      </c>
      <c r="M21" s="97" t="s">
        <v>175</v>
      </c>
      <c r="O21" s="119" t="s">
        <v>176</v>
      </c>
    </row>
    <row r="22" spans="1:15" s="119" customFormat="1" x14ac:dyDescent="0.25">
      <c r="A22" s="119">
        <v>6700</v>
      </c>
      <c r="B22" s="98">
        <f>'Area Takeoffs'!$J$37</f>
        <v>4864.8471333333337</v>
      </c>
      <c r="C22" s="98">
        <f>'Area Takeoffs'!$J$38</f>
        <v>17025.724999999999</v>
      </c>
      <c r="D22" s="98">
        <f>'Multi-Door Test-Nulled'!B28</f>
        <v>952.71869837274232</v>
      </c>
      <c r="E22" s="117">
        <f>(D22/C22)*60</f>
        <v>3.3574559616324438</v>
      </c>
      <c r="F22" s="99">
        <f>D22/B22</f>
        <v>0.19583733512299514</v>
      </c>
      <c r="G22" s="125">
        <f>D22-D6</f>
        <v>-162.28130162725768</v>
      </c>
      <c r="H22" s="126">
        <f>1-D22/D6</f>
        <v>0.14554376827556748</v>
      </c>
      <c r="J22" s="98">
        <f>D22-D14</f>
        <v>-132.32907391893002</v>
      </c>
      <c r="K22" s="122">
        <f>-(1-D22/D14)</f>
        <v>-0.12195691037588574</v>
      </c>
      <c r="M22" s="133">
        <f>ABS(J22*0.103)</f>
        <v>13.629894613649791</v>
      </c>
    </row>
    <row r="23" spans="1:15" s="119" customFormat="1" x14ac:dyDescent="0.25">
      <c r="A23" s="119">
        <v>6702</v>
      </c>
      <c r="B23" s="98">
        <f>'Area Takeoffs'!$J$5</f>
        <v>4349.8277888888888</v>
      </c>
      <c r="C23" s="98">
        <f>'Area Takeoffs'!$J$6</f>
        <v>14375.591666666667</v>
      </c>
      <c r="D23" s="98">
        <f>'Multi-Door Test-Nulled'!H28</f>
        <v>1057.3000687277715</v>
      </c>
      <c r="E23" s="117">
        <f>(D23/C23)*60</f>
        <v>4.4128969154544677</v>
      </c>
      <c r="F23" s="99">
        <f>D23/B23</f>
        <v>0.24306710978961449</v>
      </c>
      <c r="G23" s="125">
        <f>D23-D7</f>
        <v>-350.69993127222847</v>
      </c>
      <c r="H23" s="126">
        <f>1-D23/D7</f>
        <v>0.24907665573311677</v>
      </c>
      <c r="J23" s="98">
        <f t="shared" ref="J23:J26" si="4">D23-D15</f>
        <v>-271.44621799823881</v>
      </c>
      <c r="K23" s="122">
        <f t="shared" ref="K23:K26" si="5">-(1-D23/D15)</f>
        <v>-0.20428747061041563</v>
      </c>
      <c r="M23" s="133">
        <f t="shared" ref="M23:M26" si="6">ABS(J23*0.103)</f>
        <v>27.958960453818595</v>
      </c>
    </row>
    <row r="24" spans="1:15" s="119" customFormat="1" x14ac:dyDescent="0.25">
      <c r="A24" s="119">
        <v>6704</v>
      </c>
      <c r="B24" s="98">
        <f>'Area Takeoffs'!$J$5</f>
        <v>4349.8277888888888</v>
      </c>
      <c r="C24" s="98">
        <f>'Area Takeoffs'!$J$6</f>
        <v>14375.591666666667</v>
      </c>
      <c r="D24" s="98">
        <f>'Multi-Door Test-Nulled'!N28</f>
        <v>1004.4404765170513</v>
      </c>
      <c r="E24" s="117">
        <f>(D24/C24)*60</f>
        <v>4.1922746547375551</v>
      </c>
      <c r="F24" s="99">
        <f>D24/B24</f>
        <v>0.23091499830930629</v>
      </c>
      <c r="G24" s="125">
        <f>D24-D8</f>
        <v>-266.55952348294875</v>
      </c>
      <c r="H24" s="126">
        <f>1-D24/D8</f>
        <v>0.20972425136345296</v>
      </c>
      <c r="J24" s="98">
        <f t="shared" si="4"/>
        <v>-250.09042843335249</v>
      </c>
      <c r="K24" s="122">
        <f t="shared" si="5"/>
        <v>-0.19934975491356233</v>
      </c>
      <c r="M24" s="133">
        <f t="shared" si="6"/>
        <v>25.759314128635303</v>
      </c>
    </row>
    <row r="25" spans="1:15" s="119" customFormat="1" x14ac:dyDescent="0.25">
      <c r="A25" s="119">
        <v>6706</v>
      </c>
      <c r="B25" s="98">
        <f>'Area Takeoffs'!$J$5</f>
        <v>4349.8277888888888</v>
      </c>
      <c r="C25" s="98">
        <f>'Area Takeoffs'!$J$6</f>
        <v>14375.591666666667</v>
      </c>
      <c r="D25" s="98">
        <f>'Multi-Door Test-Nulled'!T28</f>
        <v>1085.3822131786328</v>
      </c>
      <c r="E25" s="117">
        <f>(D25/C25)*60</f>
        <v>4.530104520269691</v>
      </c>
      <c r="F25" s="99">
        <f>D25/B25</f>
        <v>0.24952303076253063</v>
      </c>
      <c r="G25" s="125">
        <f>D25-D9</f>
        <v>-221.61778682136719</v>
      </c>
      <c r="H25" s="126">
        <f>1-D25/D9</f>
        <v>0.16956219343639423</v>
      </c>
      <c r="J25" s="98">
        <f t="shared" si="4"/>
        <v>-244.78397590602617</v>
      </c>
      <c r="K25" s="122">
        <f t="shared" si="5"/>
        <v>-0.18402510747508316</v>
      </c>
      <c r="M25" s="133">
        <f t="shared" si="6"/>
        <v>25.212749518320695</v>
      </c>
    </row>
    <row r="26" spans="1:15" s="119" customFormat="1" x14ac:dyDescent="0.25">
      <c r="A26" s="119">
        <v>6708</v>
      </c>
      <c r="B26" s="98">
        <f>'Area Takeoffs'!$J$37</f>
        <v>4864.8471333333337</v>
      </c>
      <c r="C26" s="98">
        <f>'Area Takeoffs'!$J$38</f>
        <v>17025.724999999999</v>
      </c>
      <c r="D26" s="98">
        <f>'Multi-Door Test-Nulled'!Z28</f>
        <v>988.57535657634583</v>
      </c>
      <c r="E26" s="117">
        <f>(D26/C26)*60</f>
        <v>3.4838176579605715</v>
      </c>
      <c r="F26" s="99">
        <f>D26/B26</f>
        <v>0.2032078972847367</v>
      </c>
      <c r="G26" s="125">
        <f>D26-D10</f>
        <v>-128.42464342365417</v>
      </c>
      <c r="H26" s="126">
        <f>1-D26/D10</f>
        <v>0.11497282311875934</v>
      </c>
      <c r="J26" s="98">
        <f t="shared" si="4"/>
        <v>-124.85379421253708</v>
      </c>
      <c r="K26" s="122">
        <f t="shared" si="5"/>
        <v>-0.11213447584345726</v>
      </c>
      <c r="M26" s="133">
        <f t="shared" si="6"/>
        <v>12.859940803891318</v>
      </c>
    </row>
    <row r="27" spans="1:15" s="119" customFormat="1" x14ac:dyDescent="0.25">
      <c r="B27" s="117"/>
      <c r="C27" s="118"/>
      <c r="D27" s="118"/>
      <c r="E27" s="98"/>
      <c r="F27" s="117"/>
      <c r="G27" s="99"/>
    </row>
    <row r="28" spans="1:15" s="91" customFormat="1" x14ac:dyDescent="0.25">
      <c r="A28" s="105" t="s">
        <v>149</v>
      </c>
      <c r="B28" s="106"/>
      <c r="C28" s="107"/>
      <c r="D28" s="107"/>
      <c r="E28" s="108"/>
      <c r="F28" s="106"/>
      <c r="G28" s="109"/>
    </row>
    <row r="29" spans="1:15" s="91" customFormat="1" ht="30" x14ac:dyDescent="0.25">
      <c r="A29" s="110" t="s">
        <v>138</v>
      </c>
      <c r="B29" s="111" t="s">
        <v>116</v>
      </c>
      <c r="C29" s="112" t="s">
        <v>77</v>
      </c>
      <c r="D29" s="111" t="s">
        <v>74</v>
      </c>
      <c r="E29" s="113" t="s">
        <v>115</v>
      </c>
      <c r="F29" s="114" t="s">
        <v>78</v>
      </c>
      <c r="G29" s="114" t="s">
        <v>120</v>
      </c>
      <c r="H29" s="114" t="s">
        <v>121</v>
      </c>
    </row>
    <row r="30" spans="1:15" s="91" customFormat="1" x14ac:dyDescent="0.25">
      <c r="A30" s="91">
        <v>6700</v>
      </c>
      <c r="B30" s="108">
        <f>'Area Takeoffs'!$J$37</f>
        <v>4864.8471333333337</v>
      </c>
      <c r="C30" s="108">
        <f>'Area Takeoffs'!$J$38</f>
        <v>17025.724999999999</v>
      </c>
      <c r="D30" s="107">
        <v>1090</v>
      </c>
      <c r="E30" s="106">
        <f>(D30/C30)*60</f>
        <v>3.841246114335807</v>
      </c>
      <c r="F30" s="109">
        <f>D30/B30</f>
        <v>0.22405637219954028</v>
      </c>
      <c r="G30" s="108">
        <f>D30-D6</f>
        <v>-25</v>
      </c>
      <c r="H30" s="115">
        <f>1-D30/D6</f>
        <v>2.2421524663677084E-2</v>
      </c>
    </row>
    <row r="31" spans="1:15" s="91" customFormat="1" x14ac:dyDescent="0.25">
      <c r="A31" s="91">
        <v>6702</v>
      </c>
      <c r="B31" s="108">
        <f>'Area Takeoffs'!$J$5</f>
        <v>4349.8277888888888</v>
      </c>
      <c r="C31" s="108">
        <f>'Area Takeoffs'!$J$6</f>
        <v>14375.591666666667</v>
      </c>
      <c r="D31" s="107">
        <v>1350</v>
      </c>
      <c r="E31" s="106">
        <f>(D31/C31)*60</f>
        <v>5.6345506938554992</v>
      </c>
      <c r="F31" s="109">
        <f>D31/B31</f>
        <v>0.31035711423988149</v>
      </c>
      <c r="G31" s="108">
        <f>D31-D7</f>
        <v>-58</v>
      </c>
      <c r="H31" s="115">
        <f>1-D31/D7</f>
        <v>4.1193181818181768E-2</v>
      </c>
    </row>
    <row r="32" spans="1:15" s="91" customFormat="1" x14ac:dyDescent="0.25">
      <c r="A32" s="91">
        <v>6704</v>
      </c>
      <c r="B32" s="108">
        <f>'Area Takeoffs'!$J$5</f>
        <v>4349.8277888888888</v>
      </c>
      <c r="C32" s="108">
        <f>'Area Takeoffs'!$J$6</f>
        <v>14375.591666666667</v>
      </c>
      <c r="D32" s="107">
        <v>1230</v>
      </c>
      <c r="E32" s="106">
        <f>(D32/C32)*60</f>
        <v>5.1337017432905654</v>
      </c>
      <c r="F32" s="109">
        <f>D32/B32</f>
        <v>0.28276981519633648</v>
      </c>
      <c r="G32" s="108">
        <f>D32-D8</f>
        <v>-41</v>
      </c>
      <c r="H32" s="115">
        <f>1-D32/D8</f>
        <v>3.2258064516129004E-2</v>
      </c>
    </row>
    <row r="33" spans="1:8" s="91" customFormat="1" x14ac:dyDescent="0.25">
      <c r="A33" s="91">
        <v>6706</v>
      </c>
      <c r="B33" s="108">
        <f>'Area Takeoffs'!$J$5</f>
        <v>4349.8277888888888</v>
      </c>
      <c r="C33" s="108">
        <f>'Area Takeoffs'!$J$6</f>
        <v>14375.591666666667</v>
      </c>
      <c r="D33" s="107">
        <v>1360</v>
      </c>
      <c r="E33" s="106">
        <f>(D33/C33)*60</f>
        <v>5.676288106402577</v>
      </c>
      <c r="F33" s="109">
        <f>D33/B33</f>
        <v>0.31265605582684358</v>
      </c>
      <c r="G33" s="108">
        <f>D33-D9</f>
        <v>53</v>
      </c>
      <c r="H33" s="115">
        <f>1-D33/D9</f>
        <v>-4.0550879877582213E-2</v>
      </c>
    </row>
    <row r="34" spans="1:8" s="91" customFormat="1" x14ac:dyDescent="0.25">
      <c r="A34" s="91">
        <v>6708</v>
      </c>
      <c r="B34" s="108">
        <f>'Area Takeoffs'!$J$37</f>
        <v>4864.8471333333337</v>
      </c>
      <c r="C34" s="108">
        <f>'Area Takeoffs'!$J$38</f>
        <v>17025.724999999999</v>
      </c>
      <c r="D34" s="107">
        <v>1140</v>
      </c>
      <c r="E34" s="106">
        <f>(D34/C34)*60</f>
        <v>4.0174500645346969</v>
      </c>
      <c r="F34" s="109">
        <f>D34/B34</f>
        <v>0.23433418743805132</v>
      </c>
      <c r="G34" s="108">
        <f>D34-D10</f>
        <v>23</v>
      </c>
      <c r="H34" s="115">
        <f>1-D34/D10</f>
        <v>-2.0590868397493356E-2</v>
      </c>
    </row>
    <row r="35" spans="1:8" s="91" customFormat="1" x14ac:dyDescent="0.25">
      <c r="B35" s="106"/>
      <c r="C35" s="107"/>
      <c r="D35" s="107"/>
      <c r="E35" s="108"/>
      <c r="F35" s="106"/>
      <c r="G35" s="109"/>
    </row>
    <row r="36" spans="1:8" s="91" customFormat="1" x14ac:dyDescent="0.25">
      <c r="A36" s="105" t="s">
        <v>150</v>
      </c>
      <c r="B36" s="106"/>
      <c r="C36" s="107"/>
      <c r="D36" s="107"/>
      <c r="E36" s="108"/>
      <c r="F36" s="106"/>
      <c r="G36" s="109"/>
    </row>
    <row r="37" spans="1:8" s="91" customFormat="1" ht="30" x14ac:dyDescent="0.25">
      <c r="A37" s="110" t="s">
        <v>138</v>
      </c>
      <c r="B37" s="111" t="s">
        <v>116</v>
      </c>
      <c r="C37" s="112" t="s">
        <v>77</v>
      </c>
      <c r="D37" s="111" t="s">
        <v>74</v>
      </c>
      <c r="E37" s="113" t="s">
        <v>115</v>
      </c>
      <c r="F37" s="114" t="s">
        <v>78</v>
      </c>
      <c r="G37" s="114" t="s">
        <v>120</v>
      </c>
      <c r="H37" s="114" t="s">
        <v>121</v>
      </c>
    </row>
    <row r="38" spans="1:8" s="91" customFormat="1" x14ac:dyDescent="0.25">
      <c r="A38" s="91">
        <v>6700</v>
      </c>
      <c r="B38" s="108">
        <f>'Area Takeoffs'!$J$37</f>
        <v>4864.8471333333337</v>
      </c>
      <c r="C38" s="108">
        <f>'Area Takeoffs'!$J$38</f>
        <v>17025.724999999999</v>
      </c>
      <c r="D38" s="107">
        <v>970</v>
      </c>
      <c r="E38" s="106">
        <f>(D38/C38)*60</f>
        <v>3.4183566338584703</v>
      </c>
      <c r="F38" s="109">
        <f>D38/B38</f>
        <v>0.19938961562711383</v>
      </c>
      <c r="G38" s="108">
        <f>D38-D6</f>
        <v>-145</v>
      </c>
      <c r="H38" s="115">
        <f>1-D38/D6</f>
        <v>0.1300448430493274</v>
      </c>
    </row>
    <row r="39" spans="1:8" s="91" customFormat="1" x14ac:dyDescent="0.25">
      <c r="A39" s="91">
        <v>6702</v>
      </c>
      <c r="B39" s="108">
        <f>'Area Takeoffs'!$J$5</f>
        <v>4349.8277888888888</v>
      </c>
      <c r="C39" s="108">
        <f>'Area Takeoffs'!$J$6</f>
        <v>14375.591666666667</v>
      </c>
      <c r="D39" s="107">
        <v>1150</v>
      </c>
      <c r="E39" s="106">
        <f>(D39/C39)*60</f>
        <v>4.7998024429139434</v>
      </c>
      <c r="F39" s="109">
        <f>D39/B39</f>
        <v>0.26437828250063977</v>
      </c>
      <c r="G39" s="108">
        <f>D39-D7</f>
        <v>-258</v>
      </c>
      <c r="H39" s="115">
        <f>1-D39/D7</f>
        <v>0.18323863636363635</v>
      </c>
    </row>
    <row r="40" spans="1:8" s="91" customFormat="1" x14ac:dyDescent="0.25">
      <c r="A40" s="91">
        <v>6704</v>
      </c>
      <c r="B40" s="108">
        <f>'Area Takeoffs'!$J$5</f>
        <v>4349.8277888888888</v>
      </c>
      <c r="C40" s="108">
        <f>'Area Takeoffs'!$J$6</f>
        <v>14375.591666666667</v>
      </c>
      <c r="D40" s="107">
        <v>1090</v>
      </c>
      <c r="E40" s="106">
        <f>(D40/C40)*60</f>
        <v>4.5493779676314778</v>
      </c>
      <c r="F40" s="109">
        <f>D40/B40</f>
        <v>0.25058463297886729</v>
      </c>
      <c r="G40" s="108">
        <f>D40-D8</f>
        <v>-181</v>
      </c>
      <c r="H40" s="115">
        <f>1-D40/D8</f>
        <v>0.14240755310778919</v>
      </c>
    </row>
    <row r="41" spans="1:8" s="91" customFormat="1" x14ac:dyDescent="0.25">
      <c r="A41" s="91">
        <v>6706</v>
      </c>
      <c r="B41" s="108">
        <f>'Area Takeoffs'!$J$5</f>
        <v>4349.8277888888888</v>
      </c>
      <c r="C41" s="108">
        <f>'Area Takeoffs'!$J$6</f>
        <v>14375.591666666667</v>
      </c>
      <c r="D41" s="107">
        <v>1190</v>
      </c>
      <c r="E41" s="106">
        <f>(D41/C41)*60</f>
        <v>4.9667520931022553</v>
      </c>
      <c r="F41" s="109">
        <f>D41/B41</f>
        <v>0.27357404884848813</v>
      </c>
      <c r="G41" s="108">
        <f>D41-D9</f>
        <v>-117</v>
      </c>
      <c r="H41" s="115">
        <f>1-D41/D9</f>
        <v>8.9517980107115536E-2</v>
      </c>
    </row>
    <row r="42" spans="1:8" s="91" customFormat="1" x14ac:dyDescent="0.25">
      <c r="A42" s="91">
        <v>6708</v>
      </c>
      <c r="B42" s="108">
        <f>'Area Takeoffs'!$J$37</f>
        <v>4864.8471333333337</v>
      </c>
      <c r="C42" s="108">
        <f>'Area Takeoffs'!$J$38</f>
        <v>17025.724999999999</v>
      </c>
      <c r="D42" s="107">
        <v>1060</v>
      </c>
      <c r="E42" s="106">
        <f>(D42/C42)*60</f>
        <v>3.735523744216473</v>
      </c>
      <c r="F42" s="109">
        <f>D42/B42</f>
        <v>0.21788968305643366</v>
      </c>
      <c r="G42" s="108">
        <f>D42-D10</f>
        <v>-57</v>
      </c>
      <c r="H42" s="115">
        <f>1-D42/D10</f>
        <v>5.1029543419874646E-2</v>
      </c>
    </row>
  </sheetData>
  <mergeCells count="1">
    <mergeCell ref="J20:K20"/>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workbookViewId="0"/>
  </sheetViews>
  <sheetFormatPr defaultRowHeight="15" x14ac:dyDescent="0.25"/>
  <cols>
    <col min="1" max="2" width="9.140625" customWidth="1"/>
    <col min="3" max="4" width="9.140625" style="57" customWidth="1"/>
    <col min="5" max="6" width="9.140625" style="103" customWidth="1"/>
  </cols>
  <sheetData>
    <row r="1" spans="1:30" x14ac:dyDescent="0.25">
      <c r="A1" s="71" t="s">
        <v>151</v>
      </c>
    </row>
    <row r="2" spans="1:30" ht="15.75" thickBot="1" x14ac:dyDescent="0.3"/>
    <row r="3" spans="1:30" s="71" customFormat="1" x14ac:dyDescent="0.25">
      <c r="A3" s="139" t="s">
        <v>169</v>
      </c>
      <c r="B3" s="140"/>
      <c r="C3" s="140"/>
      <c r="D3" s="140"/>
      <c r="E3" s="140"/>
      <c r="F3" s="141"/>
      <c r="G3" s="139" t="s">
        <v>170</v>
      </c>
      <c r="H3" s="140"/>
      <c r="I3" s="140"/>
      <c r="J3" s="140"/>
      <c r="K3" s="140"/>
      <c r="L3" s="141"/>
      <c r="M3" s="139" t="s">
        <v>171</v>
      </c>
      <c r="N3" s="140"/>
      <c r="O3" s="140"/>
      <c r="P3" s="140"/>
      <c r="Q3" s="140"/>
      <c r="R3" s="141"/>
      <c r="S3" s="139" t="s">
        <v>172</v>
      </c>
      <c r="T3" s="140"/>
      <c r="U3" s="140"/>
      <c r="V3" s="140"/>
      <c r="W3" s="140"/>
      <c r="X3" s="141"/>
      <c r="Y3" s="139" t="s">
        <v>173</v>
      </c>
      <c r="Z3" s="140"/>
      <c r="AA3" s="140"/>
      <c r="AB3" s="140"/>
      <c r="AC3" s="140"/>
      <c r="AD3" s="141"/>
    </row>
    <row r="4" spans="1:30" s="76" customFormat="1" ht="30.75" thickBot="1" x14ac:dyDescent="0.3">
      <c r="A4" s="128" t="s">
        <v>152</v>
      </c>
      <c r="B4" s="129" t="s">
        <v>157</v>
      </c>
      <c r="C4" s="130" t="s">
        <v>158</v>
      </c>
      <c r="D4" s="130" t="s">
        <v>160</v>
      </c>
      <c r="E4" s="131" t="s">
        <v>123</v>
      </c>
      <c r="F4" s="132" t="s">
        <v>159</v>
      </c>
      <c r="G4" s="128" t="s">
        <v>152</v>
      </c>
      <c r="H4" s="129" t="s">
        <v>157</v>
      </c>
      <c r="I4" s="130" t="s">
        <v>158</v>
      </c>
      <c r="J4" s="130" t="s">
        <v>160</v>
      </c>
      <c r="K4" s="131" t="s">
        <v>123</v>
      </c>
      <c r="L4" s="132" t="s">
        <v>159</v>
      </c>
      <c r="M4" s="128" t="s">
        <v>152</v>
      </c>
      <c r="N4" s="129" t="s">
        <v>157</v>
      </c>
      <c r="O4" s="130" t="s">
        <v>158</v>
      </c>
      <c r="P4" s="130" t="s">
        <v>160</v>
      </c>
      <c r="Q4" s="131" t="s">
        <v>123</v>
      </c>
      <c r="R4" s="132" t="s">
        <v>159</v>
      </c>
      <c r="S4" s="128" t="s">
        <v>152</v>
      </c>
      <c r="T4" s="129" t="s">
        <v>157</v>
      </c>
      <c r="U4" s="130" t="s">
        <v>158</v>
      </c>
      <c r="V4" s="130" t="s">
        <v>160</v>
      </c>
      <c r="W4" s="131" t="s">
        <v>123</v>
      </c>
      <c r="X4" s="132" t="s">
        <v>159</v>
      </c>
      <c r="Y4" s="128" t="s">
        <v>152</v>
      </c>
      <c r="Z4" s="129" t="s">
        <v>157</v>
      </c>
      <c r="AA4" s="130" t="s">
        <v>158</v>
      </c>
      <c r="AB4" s="130" t="s">
        <v>160</v>
      </c>
      <c r="AC4" s="131" t="s">
        <v>123</v>
      </c>
      <c r="AD4" s="132" t="s">
        <v>159</v>
      </c>
    </row>
    <row r="5" spans="1:30" x14ac:dyDescent="0.25">
      <c r="A5" s="57">
        <f>AVERAGE(A10:A11)</f>
        <v>2.71</v>
      </c>
      <c r="B5" s="57">
        <f>AVERAGE(B10:B11)</f>
        <v>2.91</v>
      </c>
      <c r="C5" s="57">
        <v>-49.86</v>
      </c>
      <c r="D5" s="57">
        <f>B$5-C5</f>
        <v>52.769999999999996</v>
      </c>
      <c r="E5" s="103">
        <v>975.7</v>
      </c>
      <c r="F5" s="103">
        <v>17.7</v>
      </c>
      <c r="G5" s="57">
        <f>AVERAGE(G10:G11)</f>
        <v>0.72499999999999998</v>
      </c>
      <c r="H5" s="57">
        <f>AVERAGE(H10:H11)</f>
        <v>3.8850000000000002</v>
      </c>
      <c r="I5" s="57">
        <v>-51.88</v>
      </c>
      <c r="J5" s="57">
        <f>H$5-I5</f>
        <v>55.765000000000001</v>
      </c>
      <c r="K5" s="103">
        <v>1151.3</v>
      </c>
      <c r="L5" s="103">
        <v>49.4</v>
      </c>
      <c r="M5" s="57">
        <f>AVERAGE(M10:M11)</f>
        <v>-1.6749999999999998</v>
      </c>
      <c r="N5" s="57">
        <f>AVERAGE(N10:N11)</f>
        <v>2.21</v>
      </c>
      <c r="O5" s="57">
        <v>-53.66</v>
      </c>
      <c r="P5" s="57">
        <f>N$5-O5</f>
        <v>55.87</v>
      </c>
      <c r="Q5" s="103">
        <v>1098.7</v>
      </c>
      <c r="R5" s="103">
        <v>20.3</v>
      </c>
      <c r="S5" s="57">
        <f>AVERAGE(S10:S11)</f>
        <v>-1.47</v>
      </c>
      <c r="T5" s="57">
        <f>AVERAGE(T10:T11)</f>
        <v>2.37</v>
      </c>
      <c r="U5" s="57">
        <v>-54.37</v>
      </c>
      <c r="V5" s="57">
        <f>T$5-U5</f>
        <v>56.739999999999995</v>
      </c>
      <c r="W5" s="103">
        <v>1188.9000000000001</v>
      </c>
      <c r="X5" s="103">
        <v>35.200000000000003</v>
      </c>
      <c r="Y5" s="57">
        <f>AVERAGE(Y10:Y11)</f>
        <v>-3.2650000000000001</v>
      </c>
      <c r="Z5" s="57">
        <f>AVERAGE(Z10:Z11)</f>
        <v>1.81</v>
      </c>
      <c r="AA5" s="57">
        <v>-53.92</v>
      </c>
      <c r="AB5" s="57">
        <f>Z$5-AA5</f>
        <v>55.730000000000004</v>
      </c>
      <c r="AC5" s="103">
        <v>1066.8</v>
      </c>
      <c r="AD5" s="103">
        <v>27</v>
      </c>
    </row>
    <row r="6" spans="1:30" x14ac:dyDescent="0.25">
      <c r="A6" s="57"/>
      <c r="B6" s="57"/>
      <c r="C6" s="57">
        <v>-40.75</v>
      </c>
      <c r="D6" s="57">
        <f t="shared" ref="D6:D9" si="0">B$5-C6</f>
        <v>43.66</v>
      </c>
      <c r="E6" s="103">
        <v>864.4</v>
      </c>
      <c r="F6" s="103">
        <v>24.3</v>
      </c>
      <c r="G6" s="57"/>
      <c r="H6" s="57"/>
      <c r="I6" s="57">
        <v>-41.27</v>
      </c>
      <c r="J6" s="57">
        <f t="shared" ref="J6:J9" si="1">H$5-I6</f>
        <v>45.155000000000001</v>
      </c>
      <c r="K6" s="103">
        <v>976.8</v>
      </c>
      <c r="L6" s="103">
        <v>47</v>
      </c>
      <c r="M6" s="57"/>
      <c r="N6" s="57"/>
      <c r="O6" s="57">
        <v>-43.38</v>
      </c>
      <c r="P6" s="57">
        <f t="shared" ref="P6:P9" si="2">N$5-O6</f>
        <v>45.59</v>
      </c>
      <c r="Q6" s="103">
        <v>945.5</v>
      </c>
      <c r="R6" s="103">
        <v>9.9</v>
      </c>
      <c r="S6" s="57"/>
      <c r="T6" s="57"/>
      <c r="U6" s="57">
        <v>-44.1</v>
      </c>
      <c r="V6" s="57">
        <f t="shared" ref="V6:V9" si="3">T$5-U6</f>
        <v>46.47</v>
      </c>
      <c r="W6" s="103">
        <v>1038</v>
      </c>
      <c r="X6" s="103">
        <v>40.799999999999997</v>
      </c>
      <c r="Y6" s="57"/>
      <c r="Z6" s="57"/>
      <c r="AA6" s="57">
        <v>-45.1</v>
      </c>
      <c r="AB6" s="57">
        <f t="shared" ref="AB6:AB9" si="4">Z$5-AA6</f>
        <v>46.910000000000004</v>
      </c>
      <c r="AC6" s="103">
        <v>949.1</v>
      </c>
      <c r="AD6" s="103">
        <v>9.4</v>
      </c>
    </row>
    <row r="7" spans="1:30" x14ac:dyDescent="0.25">
      <c r="A7" s="57"/>
      <c r="B7" s="57"/>
      <c r="C7" s="57">
        <v>-41.61</v>
      </c>
      <c r="D7" s="57">
        <f t="shared" si="0"/>
        <v>44.519999999999996</v>
      </c>
      <c r="E7" s="103">
        <v>869.6</v>
      </c>
      <c r="F7" s="103">
        <v>22.8</v>
      </c>
      <c r="G7" s="57"/>
      <c r="H7" s="57"/>
      <c r="I7" s="57">
        <v>-43.26</v>
      </c>
      <c r="J7" s="57">
        <f t="shared" si="1"/>
        <v>47.144999999999996</v>
      </c>
      <c r="K7" s="103">
        <v>1007.8</v>
      </c>
      <c r="L7" s="103">
        <v>66</v>
      </c>
      <c r="M7" s="57"/>
      <c r="N7" s="57"/>
      <c r="O7" s="57">
        <v>-42.76</v>
      </c>
      <c r="P7" s="57">
        <f t="shared" si="2"/>
        <v>44.97</v>
      </c>
      <c r="Q7" s="103">
        <v>894.8</v>
      </c>
      <c r="R7" s="103">
        <v>21</v>
      </c>
      <c r="S7" s="57"/>
      <c r="T7" s="57"/>
      <c r="U7" s="57">
        <v>-43.52</v>
      </c>
      <c r="V7" s="57">
        <f t="shared" si="3"/>
        <v>45.89</v>
      </c>
      <c r="W7" s="103">
        <v>1005</v>
      </c>
      <c r="X7" s="103">
        <v>42.9</v>
      </c>
      <c r="Y7" s="57"/>
      <c r="Z7" s="57"/>
      <c r="AA7" s="57">
        <v>-44.61</v>
      </c>
      <c r="AB7" s="57">
        <f t="shared" si="4"/>
        <v>46.42</v>
      </c>
      <c r="AC7" s="103">
        <v>918.7</v>
      </c>
      <c r="AD7" s="103">
        <v>12.8</v>
      </c>
    </row>
    <row r="8" spans="1:30" x14ac:dyDescent="0.25">
      <c r="A8" s="57"/>
      <c r="B8" s="57"/>
      <c r="C8" s="57">
        <v>-30.53</v>
      </c>
      <c r="D8" s="57">
        <f t="shared" si="0"/>
        <v>33.44</v>
      </c>
      <c r="E8" s="103">
        <v>705.6</v>
      </c>
      <c r="F8" s="103">
        <v>11.5</v>
      </c>
      <c r="G8" s="57"/>
      <c r="H8" s="57"/>
      <c r="I8" s="57">
        <v>-31.15</v>
      </c>
      <c r="J8" s="57">
        <f t="shared" si="1"/>
        <v>35.034999999999997</v>
      </c>
      <c r="K8" s="103">
        <v>789.8</v>
      </c>
      <c r="L8" s="103">
        <v>21.6</v>
      </c>
      <c r="M8" s="57"/>
      <c r="N8" s="57"/>
      <c r="O8" s="57">
        <v>-33.880000000000003</v>
      </c>
      <c r="P8" s="57">
        <f t="shared" si="2"/>
        <v>36.090000000000003</v>
      </c>
      <c r="Q8" s="103">
        <v>799.9</v>
      </c>
      <c r="R8" s="103">
        <v>16.5</v>
      </c>
      <c r="S8" s="57"/>
      <c r="T8" s="57"/>
      <c r="U8" s="57">
        <v>-32.340000000000003</v>
      </c>
      <c r="V8" s="57">
        <f t="shared" si="3"/>
        <v>34.71</v>
      </c>
      <c r="W8" s="103">
        <v>840.6</v>
      </c>
      <c r="X8" s="103">
        <v>38.5</v>
      </c>
      <c r="Y8" s="57"/>
      <c r="Z8" s="57"/>
      <c r="AA8" s="57">
        <v>-34.82</v>
      </c>
      <c r="AB8" s="57">
        <f t="shared" si="4"/>
        <v>36.630000000000003</v>
      </c>
      <c r="AC8" s="103">
        <v>811</v>
      </c>
      <c r="AD8" s="103">
        <v>6.5</v>
      </c>
    </row>
    <row r="9" spans="1:30" x14ac:dyDescent="0.25">
      <c r="A9" s="57"/>
      <c r="B9" s="57"/>
      <c r="C9" s="57">
        <v>-24.7</v>
      </c>
      <c r="D9" s="57">
        <f t="shared" si="0"/>
        <v>27.61</v>
      </c>
      <c r="E9" s="103">
        <v>573.1</v>
      </c>
      <c r="F9" s="103">
        <v>15.3</v>
      </c>
      <c r="G9" s="57"/>
      <c r="H9" s="57"/>
      <c r="I9" s="57">
        <v>-23.49</v>
      </c>
      <c r="J9" s="57">
        <f t="shared" si="1"/>
        <v>27.375</v>
      </c>
      <c r="K9" s="103">
        <v>640.4</v>
      </c>
      <c r="L9" s="103">
        <v>26.4</v>
      </c>
      <c r="M9" s="57"/>
      <c r="N9" s="57"/>
      <c r="O9" s="57">
        <v>-23.71</v>
      </c>
      <c r="P9" s="57">
        <f t="shared" si="2"/>
        <v>25.92</v>
      </c>
      <c r="Q9" s="103">
        <v>596</v>
      </c>
      <c r="R9" s="103">
        <v>16.5</v>
      </c>
      <c r="S9" s="57"/>
      <c r="T9" s="57"/>
      <c r="U9" s="57">
        <v>-25.02</v>
      </c>
      <c r="V9" s="57">
        <f t="shared" si="3"/>
        <v>27.39</v>
      </c>
      <c r="W9" s="103">
        <v>686.3</v>
      </c>
      <c r="X9" s="103">
        <v>21.9</v>
      </c>
      <c r="Y9" s="57"/>
      <c r="Z9" s="57"/>
      <c r="AA9" s="57">
        <v>-25</v>
      </c>
      <c r="AB9" s="57">
        <f t="shared" si="4"/>
        <v>26.81</v>
      </c>
      <c r="AC9" s="103">
        <v>615.79999999999995</v>
      </c>
      <c r="AD9" s="103">
        <v>13.1</v>
      </c>
    </row>
    <row r="10" spans="1:30" x14ac:dyDescent="0.25">
      <c r="A10">
        <v>6.46</v>
      </c>
      <c r="B10">
        <v>4.26</v>
      </c>
      <c r="G10">
        <v>3.42</v>
      </c>
      <c r="H10">
        <v>6.4</v>
      </c>
      <c r="M10">
        <v>0.45</v>
      </c>
      <c r="N10">
        <v>3.45</v>
      </c>
      <c r="S10">
        <v>1.4</v>
      </c>
      <c r="T10">
        <v>3.4</v>
      </c>
      <c r="Y10">
        <v>-1.7</v>
      </c>
      <c r="Z10">
        <v>2.25</v>
      </c>
    </row>
    <row r="11" spans="1:30" x14ac:dyDescent="0.25">
      <c r="A11">
        <v>-1.04</v>
      </c>
      <c r="B11">
        <v>1.56</v>
      </c>
      <c r="G11">
        <v>-1.97</v>
      </c>
      <c r="H11">
        <v>1.37</v>
      </c>
      <c r="M11">
        <v>-3.8</v>
      </c>
      <c r="N11">
        <v>0.97</v>
      </c>
      <c r="S11">
        <v>-4.34</v>
      </c>
      <c r="T11">
        <v>1.34</v>
      </c>
      <c r="Y11">
        <v>-4.83</v>
      </c>
      <c r="Z11">
        <v>1.37</v>
      </c>
    </row>
    <row r="25" spans="1:26" x14ac:dyDescent="0.25">
      <c r="A25" t="s">
        <v>140</v>
      </c>
      <c r="B25">
        <v>39.292000000000002</v>
      </c>
      <c r="G25" t="s">
        <v>140</v>
      </c>
      <c r="H25">
        <v>41.637999999999998</v>
      </c>
      <c r="M25" t="s">
        <v>140</v>
      </c>
      <c r="N25">
        <v>47.448</v>
      </c>
      <c r="S25" t="s">
        <v>140</v>
      </c>
      <c r="T25">
        <v>58.817999999999998</v>
      </c>
      <c r="Y25" t="s">
        <v>140</v>
      </c>
      <c r="Z25">
        <v>55.47</v>
      </c>
    </row>
    <row r="26" spans="1:26" x14ac:dyDescent="0.25">
      <c r="A26" t="s">
        <v>141</v>
      </c>
      <c r="B26">
        <v>0.81499999999999995</v>
      </c>
      <c r="G26" t="s">
        <v>141</v>
      </c>
      <c r="H26">
        <v>0.82679999999999998</v>
      </c>
      <c r="M26" t="s">
        <v>141</v>
      </c>
      <c r="N26">
        <v>0.78029999999999999</v>
      </c>
      <c r="S26" t="s">
        <v>141</v>
      </c>
      <c r="T26">
        <v>0.74519999999999997</v>
      </c>
      <c r="Y26" t="s">
        <v>141</v>
      </c>
      <c r="Z26">
        <v>0.73629999999999995</v>
      </c>
    </row>
    <row r="27" spans="1:26" x14ac:dyDescent="0.25">
      <c r="A27" t="s">
        <v>142</v>
      </c>
      <c r="B27">
        <v>50</v>
      </c>
      <c r="G27" t="s">
        <v>142</v>
      </c>
      <c r="H27">
        <v>50</v>
      </c>
      <c r="M27" t="s">
        <v>142</v>
      </c>
      <c r="N27">
        <v>50</v>
      </c>
      <c r="S27" t="s">
        <v>142</v>
      </c>
      <c r="T27">
        <v>50</v>
      </c>
      <c r="Y27" t="s">
        <v>142</v>
      </c>
      <c r="Z27">
        <v>50</v>
      </c>
    </row>
    <row r="28" spans="1:26" x14ac:dyDescent="0.25">
      <c r="A28" t="str">
        <f>"CFM "&amp;B27</f>
        <v>CFM 50</v>
      </c>
      <c r="B28" s="103">
        <f>B25*B27^B26</f>
        <v>952.71869837274232</v>
      </c>
      <c r="G28" t="str">
        <f>"CFM "&amp;H27</f>
        <v>CFM 50</v>
      </c>
      <c r="H28" s="103">
        <f>H25*H27^H26</f>
        <v>1057.3000687277715</v>
      </c>
      <c r="M28" t="str">
        <f>"CFM "&amp;N27</f>
        <v>CFM 50</v>
      </c>
      <c r="N28" s="103">
        <f>N25*N27^N26</f>
        <v>1004.4404765170513</v>
      </c>
      <c r="S28" t="str">
        <f>"CFM "&amp;T27</f>
        <v>CFM 50</v>
      </c>
      <c r="T28" s="103">
        <f>T25*T27^T26</f>
        <v>1085.3822131786328</v>
      </c>
      <c r="Y28" t="str">
        <f>"CFM "&amp;Z27</f>
        <v>CFM 50</v>
      </c>
      <c r="Z28" s="103">
        <f>Z25*Z27^Z26</f>
        <v>988.57535657634583</v>
      </c>
    </row>
  </sheetData>
  <mergeCells count="5">
    <mergeCell ref="A3:F3"/>
    <mergeCell ref="G3:L3"/>
    <mergeCell ref="M3:R3"/>
    <mergeCell ref="S3:X3"/>
    <mergeCell ref="Y3:AD3"/>
  </mergeCells>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workbookViewId="0"/>
  </sheetViews>
  <sheetFormatPr defaultRowHeight="15" x14ac:dyDescent="0.25"/>
  <cols>
    <col min="1" max="5" width="14.140625" customWidth="1"/>
  </cols>
  <sheetData>
    <row r="1" spans="1:5" x14ac:dyDescent="0.25">
      <c r="A1" s="71" t="s">
        <v>151</v>
      </c>
    </row>
    <row r="3" spans="1:5" x14ac:dyDescent="0.25">
      <c r="A3" s="71" t="s">
        <v>174</v>
      </c>
    </row>
    <row r="4" spans="1:5" x14ac:dyDescent="0.25">
      <c r="A4" s="71"/>
    </row>
    <row r="6" spans="1:5" x14ac:dyDescent="0.25">
      <c r="A6" s="71" t="s">
        <v>164</v>
      </c>
      <c r="C6" t="str">
        <f>LEFT(A6,9)&amp;"-Unguarded"</f>
        <v>Unit 6700-Unguarded</v>
      </c>
    </row>
    <row r="7" spans="1:5" x14ac:dyDescent="0.25">
      <c r="A7" s="101" t="s">
        <v>152</v>
      </c>
      <c r="B7" s="104">
        <v>-1.41</v>
      </c>
      <c r="C7" s="104"/>
    </row>
    <row r="8" spans="1:5" x14ac:dyDescent="0.25">
      <c r="A8" s="101" t="s">
        <v>61</v>
      </c>
      <c r="B8" s="104">
        <v>0.46</v>
      </c>
    </row>
    <row r="10" spans="1:5" x14ac:dyDescent="0.25">
      <c r="A10" s="78" t="s">
        <v>153</v>
      </c>
      <c r="B10" s="78" t="s">
        <v>125</v>
      </c>
      <c r="C10" s="78" t="s">
        <v>123</v>
      </c>
      <c r="D10" s="78" t="s">
        <v>154</v>
      </c>
      <c r="E10" s="78" t="s">
        <v>155</v>
      </c>
    </row>
    <row r="11" spans="1:5" x14ac:dyDescent="0.25">
      <c r="A11" s="57">
        <v>-50.45</v>
      </c>
      <c r="B11" s="57">
        <f>ABS(A11-$B$7)</f>
        <v>49.040000000000006</v>
      </c>
      <c r="C11" s="103">
        <v>1071.3</v>
      </c>
      <c r="D11" s="57">
        <v>1.84</v>
      </c>
      <c r="E11" s="103">
        <v>16.2</v>
      </c>
    </row>
    <row r="12" spans="1:5" x14ac:dyDescent="0.25">
      <c r="A12" s="57">
        <v>-42.21</v>
      </c>
      <c r="B12" s="57">
        <f>ABS(A12-$B$7)</f>
        <v>40.800000000000004</v>
      </c>
      <c r="C12" s="103">
        <v>949.8</v>
      </c>
      <c r="D12" s="57">
        <v>3.01</v>
      </c>
      <c r="E12" s="103">
        <v>22.5</v>
      </c>
    </row>
    <row r="14" spans="1:5" x14ac:dyDescent="0.25">
      <c r="A14" t="s">
        <v>140</v>
      </c>
      <c r="B14">
        <v>83.876999999999995</v>
      </c>
    </row>
    <row r="15" spans="1:5" x14ac:dyDescent="0.25">
      <c r="A15" t="s">
        <v>141</v>
      </c>
      <c r="B15">
        <v>0.65439999999999998</v>
      </c>
    </row>
    <row r="16" spans="1:5" x14ac:dyDescent="0.25">
      <c r="A16" t="s">
        <v>142</v>
      </c>
      <c r="B16">
        <v>50</v>
      </c>
    </row>
    <row r="17" spans="1:5" x14ac:dyDescent="0.25">
      <c r="A17" t="str">
        <f>"CFM "&amp;B16</f>
        <v>CFM 50</v>
      </c>
      <c r="B17" s="103">
        <f>B14*B16^B15</f>
        <v>1085.0477722916723</v>
      </c>
      <c r="C17" s="103"/>
      <c r="D17" s="103"/>
      <c r="E17" s="100"/>
    </row>
    <row r="19" spans="1:5" x14ac:dyDescent="0.25">
      <c r="A19" s="71" t="s">
        <v>165</v>
      </c>
      <c r="C19" t="str">
        <f>LEFT(A19,9)&amp;"-Unguarded"</f>
        <v>Unit 6702-Unguarded</v>
      </c>
    </row>
    <row r="20" spans="1:5" x14ac:dyDescent="0.25">
      <c r="A20" s="101" t="s">
        <v>152</v>
      </c>
      <c r="B20" s="104">
        <v>-1.19</v>
      </c>
      <c r="C20" s="104"/>
    </row>
    <row r="21" spans="1:5" x14ac:dyDescent="0.25">
      <c r="A21" s="101" t="s">
        <v>61</v>
      </c>
      <c r="B21" s="104">
        <v>2.13</v>
      </c>
    </row>
    <row r="23" spans="1:5" x14ac:dyDescent="0.25">
      <c r="A23" s="78" t="s">
        <v>153</v>
      </c>
      <c r="B23" s="78" t="s">
        <v>125</v>
      </c>
      <c r="C23" s="78" t="s">
        <v>123</v>
      </c>
      <c r="D23" s="78" t="s">
        <v>154</v>
      </c>
      <c r="E23" s="78" t="s">
        <v>155</v>
      </c>
    </row>
    <row r="24" spans="1:5" x14ac:dyDescent="0.25">
      <c r="A24" s="57">
        <v>-51.56</v>
      </c>
      <c r="B24" s="57">
        <f>ABS(A24-$B$7)</f>
        <v>50.150000000000006</v>
      </c>
      <c r="C24" s="103">
        <v>1331.7</v>
      </c>
      <c r="D24" s="57">
        <v>3.14</v>
      </c>
      <c r="E24" s="103">
        <v>41.7</v>
      </c>
    </row>
    <row r="25" spans="1:5" x14ac:dyDescent="0.25">
      <c r="A25" s="57">
        <v>-41.41</v>
      </c>
      <c r="B25" s="57">
        <f>ABS(A25-$B$7)</f>
        <v>40</v>
      </c>
      <c r="C25" s="103">
        <v>1136.7</v>
      </c>
      <c r="D25" s="57">
        <v>2.36</v>
      </c>
      <c r="E25" s="103">
        <v>39.299999999999997</v>
      </c>
    </row>
    <row r="27" spans="1:5" x14ac:dyDescent="0.25">
      <c r="A27" t="s">
        <v>140</v>
      </c>
      <c r="B27">
        <v>85.9</v>
      </c>
    </row>
    <row r="28" spans="1:5" x14ac:dyDescent="0.25">
      <c r="A28" t="s">
        <v>141</v>
      </c>
      <c r="B28">
        <v>0.70009999999999994</v>
      </c>
    </row>
    <row r="29" spans="1:5" x14ac:dyDescent="0.25">
      <c r="A29" t="s">
        <v>142</v>
      </c>
      <c r="B29">
        <v>50</v>
      </c>
    </row>
    <row r="30" spans="1:5" x14ac:dyDescent="0.25">
      <c r="A30" t="str">
        <f>"CFM "&amp;B29</f>
        <v>CFM 50</v>
      </c>
      <c r="B30" s="103">
        <f>B27*B29^B28</f>
        <v>1328.7462867260103</v>
      </c>
      <c r="C30" s="103"/>
      <c r="D30" s="103"/>
      <c r="E30" s="100"/>
    </row>
    <row r="32" spans="1:5" x14ac:dyDescent="0.25">
      <c r="A32" s="71" t="s">
        <v>166</v>
      </c>
      <c r="C32" t="str">
        <f>LEFT(A32,9)&amp;"-Unguarded"</f>
        <v>Unit 6704-Unguarded</v>
      </c>
    </row>
    <row r="33" spans="1:5" x14ac:dyDescent="0.25">
      <c r="A33" s="101" t="s">
        <v>152</v>
      </c>
      <c r="B33" s="104">
        <v>-2.4700000000000002</v>
      </c>
      <c r="C33" s="104"/>
    </row>
    <row r="34" spans="1:5" x14ac:dyDescent="0.25">
      <c r="A34" s="101" t="s">
        <v>61</v>
      </c>
      <c r="B34" s="104">
        <v>0.89</v>
      </c>
    </row>
    <row r="36" spans="1:5" x14ac:dyDescent="0.25">
      <c r="A36" s="78" t="s">
        <v>153</v>
      </c>
      <c r="B36" s="78" t="s">
        <v>125</v>
      </c>
      <c r="C36" s="78" t="s">
        <v>123</v>
      </c>
      <c r="D36" s="78" t="s">
        <v>154</v>
      </c>
      <c r="E36" s="78" t="s">
        <v>155</v>
      </c>
    </row>
    <row r="37" spans="1:5" x14ac:dyDescent="0.25">
      <c r="A37" s="57">
        <v>-50.97</v>
      </c>
      <c r="B37" s="57">
        <f>ABS(A37-$B$7)</f>
        <v>49.56</v>
      </c>
      <c r="C37" s="103">
        <v>1247.9000000000001</v>
      </c>
      <c r="D37" s="57">
        <v>1.67</v>
      </c>
      <c r="E37" s="103">
        <v>16.8</v>
      </c>
    </row>
    <row r="38" spans="1:5" x14ac:dyDescent="0.25">
      <c r="A38" s="57">
        <v>-42.21</v>
      </c>
      <c r="B38" s="57">
        <f>ABS(A38-$B$7)</f>
        <v>40.800000000000004</v>
      </c>
      <c r="C38" s="103">
        <v>1115</v>
      </c>
      <c r="D38" s="57">
        <v>1.01</v>
      </c>
      <c r="E38" s="103">
        <v>6.9</v>
      </c>
    </row>
    <row r="40" spans="1:5" x14ac:dyDescent="0.25">
      <c r="A40" t="s">
        <v>140</v>
      </c>
      <c r="B40">
        <v>130.25</v>
      </c>
    </row>
    <row r="41" spans="1:5" x14ac:dyDescent="0.25">
      <c r="A41" t="s">
        <v>141</v>
      </c>
      <c r="B41">
        <v>0.57899999999999996</v>
      </c>
    </row>
    <row r="42" spans="1:5" x14ac:dyDescent="0.25">
      <c r="A42" t="s">
        <v>142</v>
      </c>
      <c r="B42">
        <v>50</v>
      </c>
    </row>
    <row r="43" spans="1:5" x14ac:dyDescent="0.25">
      <c r="A43" t="str">
        <f>"CFM "&amp;B42</f>
        <v>CFM 50</v>
      </c>
      <c r="B43" s="103">
        <f>B40*B42^B41</f>
        <v>1254.5309049504037</v>
      </c>
      <c r="C43" s="103"/>
      <c r="D43" s="103"/>
      <c r="E43" s="100"/>
    </row>
    <row r="45" spans="1:5" x14ac:dyDescent="0.25">
      <c r="A45" s="71" t="s">
        <v>167</v>
      </c>
      <c r="C45" t="str">
        <f>LEFT(A45,9)&amp;"-Unguarded"</f>
        <v>Unit 6706-Unguarded</v>
      </c>
    </row>
    <row r="46" spans="1:5" x14ac:dyDescent="0.25">
      <c r="A46" s="101" t="s">
        <v>152</v>
      </c>
      <c r="B46" s="104">
        <v>-4.26</v>
      </c>
      <c r="C46" s="104"/>
    </row>
    <row r="47" spans="1:5" x14ac:dyDescent="0.25">
      <c r="A47" s="101" t="s">
        <v>61</v>
      </c>
      <c r="B47" s="104">
        <v>2.84</v>
      </c>
    </row>
    <row r="49" spans="1:5" x14ac:dyDescent="0.25">
      <c r="A49" s="78" t="s">
        <v>153</v>
      </c>
      <c r="B49" s="78" t="s">
        <v>125</v>
      </c>
      <c r="C49" s="78" t="s">
        <v>123</v>
      </c>
      <c r="D49" s="78" t="s">
        <v>154</v>
      </c>
      <c r="E49" s="78" t="s">
        <v>155</v>
      </c>
    </row>
    <row r="50" spans="1:5" x14ac:dyDescent="0.25">
      <c r="A50" s="57">
        <v>-55.23</v>
      </c>
      <c r="B50" s="57">
        <f>ABS(A50-$B$7)</f>
        <v>53.82</v>
      </c>
      <c r="C50" s="103">
        <v>1353.4</v>
      </c>
      <c r="D50" s="57">
        <v>3.02</v>
      </c>
      <c r="E50" s="103">
        <v>47.3</v>
      </c>
    </row>
    <row r="51" spans="1:5" x14ac:dyDescent="0.25">
      <c r="A51" s="57">
        <v>-45.47</v>
      </c>
      <c r="B51" s="57">
        <f>ABS(A51-$B$7)</f>
        <v>44.06</v>
      </c>
      <c r="C51" s="103">
        <v>1181.9000000000001</v>
      </c>
      <c r="D51" s="57">
        <v>2.88</v>
      </c>
      <c r="E51" s="103">
        <v>40.700000000000003</v>
      </c>
    </row>
    <row r="53" spans="1:5" x14ac:dyDescent="0.25">
      <c r="A53" t="s">
        <v>140</v>
      </c>
      <c r="B53">
        <v>94.051000000000002</v>
      </c>
    </row>
    <row r="54" spans="1:5" x14ac:dyDescent="0.25">
      <c r="A54" t="s">
        <v>141</v>
      </c>
      <c r="B54">
        <v>0.67720000000000002</v>
      </c>
    </row>
    <row r="55" spans="1:5" x14ac:dyDescent="0.25">
      <c r="A55" t="s">
        <v>142</v>
      </c>
      <c r="B55">
        <v>50</v>
      </c>
    </row>
    <row r="56" spans="1:5" x14ac:dyDescent="0.25">
      <c r="A56" t="str">
        <f>"CFM "&amp;B55</f>
        <v>CFM 50</v>
      </c>
      <c r="B56" s="103">
        <f>B53*B55^B54</f>
        <v>1330.166189084659</v>
      </c>
      <c r="C56" s="103"/>
      <c r="D56" s="103"/>
      <c r="E56" s="100"/>
    </row>
    <row r="58" spans="1:5" x14ac:dyDescent="0.25">
      <c r="A58" s="71" t="s">
        <v>168</v>
      </c>
      <c r="C58" t="str">
        <f>LEFT(A58,9)&amp;"-Unguarded"</f>
        <v>Unit 6708-Unguarded</v>
      </c>
    </row>
    <row r="59" spans="1:5" x14ac:dyDescent="0.25">
      <c r="A59" s="101" t="s">
        <v>152</v>
      </c>
      <c r="B59" s="104">
        <v>-2.93</v>
      </c>
      <c r="C59" s="104"/>
    </row>
    <row r="60" spans="1:5" x14ac:dyDescent="0.25">
      <c r="A60" s="101" t="s">
        <v>61</v>
      </c>
      <c r="B60" s="104">
        <v>1.84</v>
      </c>
    </row>
    <row r="62" spans="1:5" x14ac:dyDescent="0.25">
      <c r="A62" s="78" t="s">
        <v>153</v>
      </c>
      <c r="B62" s="78" t="s">
        <v>125</v>
      </c>
      <c r="C62" s="78" t="s">
        <v>123</v>
      </c>
      <c r="D62" s="78" t="s">
        <v>154</v>
      </c>
      <c r="E62" s="78" t="s">
        <v>155</v>
      </c>
    </row>
    <row r="63" spans="1:5" x14ac:dyDescent="0.25">
      <c r="A63" s="57">
        <v>-53.25</v>
      </c>
      <c r="B63" s="57">
        <f>ABS(A63-$B$7)</f>
        <v>51.84</v>
      </c>
      <c r="C63" s="103">
        <v>1141.8</v>
      </c>
      <c r="D63" s="57">
        <v>1.23</v>
      </c>
      <c r="E63" s="103">
        <v>9.6</v>
      </c>
    </row>
    <row r="64" spans="1:5" x14ac:dyDescent="0.25">
      <c r="A64" s="57">
        <v>-42.8</v>
      </c>
      <c r="B64" s="57">
        <f>ABS(A64-$B$7)</f>
        <v>41.39</v>
      </c>
      <c r="C64" s="103">
        <v>976.6</v>
      </c>
      <c r="D64" s="57">
        <v>1.22</v>
      </c>
      <c r="E64" s="103">
        <v>10.3</v>
      </c>
    </row>
    <row r="66" spans="1:5" x14ac:dyDescent="0.25">
      <c r="A66" t="s">
        <v>140</v>
      </c>
      <c r="B66">
        <v>73.661000000000001</v>
      </c>
    </row>
    <row r="67" spans="1:5" x14ac:dyDescent="0.25">
      <c r="A67" t="s">
        <v>141</v>
      </c>
      <c r="B67">
        <v>0.69420000000000004</v>
      </c>
    </row>
    <row r="68" spans="1:5" x14ac:dyDescent="0.25">
      <c r="A68" t="s">
        <v>142</v>
      </c>
      <c r="B68">
        <v>50</v>
      </c>
    </row>
    <row r="69" spans="1:5" x14ac:dyDescent="0.25">
      <c r="A69" t="str">
        <f>"CFM "&amp;B68</f>
        <v>CFM 50</v>
      </c>
      <c r="B69" s="103">
        <f>B66*B68^B67</f>
        <v>1113.4291507888829</v>
      </c>
      <c r="C69" s="103"/>
      <c r="D69" s="103"/>
      <c r="E69" s="100"/>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heetViews>
  <sheetFormatPr defaultRowHeight="15" x14ac:dyDescent="0.25"/>
  <cols>
    <col min="1" max="7" width="13.28515625" customWidth="1"/>
  </cols>
  <sheetData>
    <row r="1" spans="1:5" x14ac:dyDescent="0.25">
      <c r="A1" s="71" t="s">
        <v>143</v>
      </c>
    </row>
    <row r="4" spans="1:5" x14ac:dyDescent="0.25">
      <c r="A4" s="71" t="s">
        <v>127</v>
      </c>
      <c r="B4" t="s">
        <v>131</v>
      </c>
      <c r="C4" t="s">
        <v>145</v>
      </c>
    </row>
    <row r="5" spans="1:5" x14ac:dyDescent="0.25">
      <c r="A5" s="101" t="s">
        <v>128</v>
      </c>
      <c r="B5" s="104">
        <v>-2.13</v>
      </c>
      <c r="C5" s="104">
        <v>1.86</v>
      </c>
    </row>
    <row r="6" spans="1:5" x14ac:dyDescent="0.25">
      <c r="A6" s="101" t="s">
        <v>129</v>
      </c>
      <c r="B6" s="104">
        <v>-2.13</v>
      </c>
      <c r="C6" s="104">
        <v>1.81</v>
      </c>
    </row>
    <row r="7" spans="1:5" x14ac:dyDescent="0.25">
      <c r="A7" s="101" t="s">
        <v>130</v>
      </c>
      <c r="B7" s="104">
        <v>-2.5299999999999998</v>
      </c>
      <c r="C7" s="104">
        <v>1.46</v>
      </c>
      <c r="D7" t="s">
        <v>146</v>
      </c>
    </row>
    <row r="8" spans="1:5" x14ac:dyDescent="0.25">
      <c r="A8" s="101" t="s">
        <v>60</v>
      </c>
      <c r="B8" s="104">
        <f>AVERAGE(B5:B7)</f>
        <v>-2.2633333333333332</v>
      </c>
      <c r="C8" s="104">
        <f>AVERAGE(C5:C7)</f>
        <v>1.71</v>
      </c>
    </row>
    <row r="10" spans="1:5" x14ac:dyDescent="0.25">
      <c r="A10" s="71" t="s">
        <v>147</v>
      </c>
    </row>
    <row r="11" spans="1:5" s="76" customFormat="1" ht="30" x14ac:dyDescent="0.25">
      <c r="A11" s="76" t="s">
        <v>122</v>
      </c>
      <c r="B11" s="76" t="s">
        <v>125</v>
      </c>
      <c r="C11" s="76" t="s">
        <v>123</v>
      </c>
      <c r="D11" s="76" t="s">
        <v>145</v>
      </c>
      <c r="E11" s="76" t="s">
        <v>135</v>
      </c>
    </row>
    <row r="12" spans="1:5" x14ac:dyDescent="0.25">
      <c r="A12">
        <v>-52.08</v>
      </c>
      <c r="B12" s="104">
        <f>ABS(A12-$B$8)</f>
        <v>49.816666666666663</v>
      </c>
      <c r="C12">
        <v>1335.5</v>
      </c>
      <c r="D12" s="104">
        <v>51.37</v>
      </c>
      <c r="E12" s="104">
        <f>ABS((A12+D12)-$C$8)</f>
        <v>2.4200000000000008</v>
      </c>
    </row>
    <row r="13" spans="1:5" x14ac:dyDescent="0.25">
      <c r="A13">
        <v>-47.09</v>
      </c>
      <c r="B13" s="104">
        <f t="shared" ref="B13:B16" si="0">ABS(A13-$B$8)</f>
        <v>44.826666666666668</v>
      </c>
      <c r="C13">
        <v>1246.0999999999999</v>
      </c>
      <c r="D13" s="104">
        <v>46.37</v>
      </c>
      <c r="E13" s="104">
        <f t="shared" ref="E13:E16" si="1">ABS((A13+D13)-$C$8)</f>
        <v>2.4300000000000059</v>
      </c>
    </row>
    <row r="14" spans="1:5" x14ac:dyDescent="0.25">
      <c r="A14">
        <v>-42.48</v>
      </c>
      <c r="B14" s="104">
        <f t="shared" si="0"/>
        <v>40.216666666666661</v>
      </c>
      <c r="C14">
        <v>1165.2</v>
      </c>
      <c r="D14" s="104">
        <v>41.92</v>
      </c>
      <c r="E14" s="104">
        <f t="shared" si="1"/>
        <v>2.2699999999999951</v>
      </c>
    </row>
    <row r="15" spans="1:5" x14ac:dyDescent="0.25">
      <c r="A15">
        <v>-37.24</v>
      </c>
      <c r="B15" s="104">
        <f t="shared" si="0"/>
        <v>34.976666666666667</v>
      </c>
      <c r="C15">
        <v>1061.7</v>
      </c>
      <c r="D15" s="104">
        <v>36.6</v>
      </c>
      <c r="E15" s="104">
        <f t="shared" si="1"/>
        <v>2.3500000000000005</v>
      </c>
    </row>
    <row r="16" spans="1:5" x14ac:dyDescent="0.25">
      <c r="A16">
        <v>-32.28</v>
      </c>
      <c r="B16" s="104">
        <f t="shared" si="0"/>
        <v>30.016666666666669</v>
      </c>
      <c r="C16">
        <v>973.3</v>
      </c>
      <c r="D16" s="104">
        <v>31.76</v>
      </c>
      <c r="E16" s="104">
        <f t="shared" si="1"/>
        <v>2.2299999999999995</v>
      </c>
    </row>
    <row r="18" spans="1:7" x14ac:dyDescent="0.25">
      <c r="B18" t="s">
        <v>138</v>
      </c>
    </row>
    <row r="19" spans="1:7" x14ac:dyDescent="0.25">
      <c r="A19" t="s">
        <v>140</v>
      </c>
      <c r="B19">
        <v>114.63</v>
      </c>
    </row>
    <row r="20" spans="1:7" x14ac:dyDescent="0.25">
      <c r="A20" t="s">
        <v>141</v>
      </c>
      <c r="B20">
        <v>0.62770000000000004</v>
      </c>
    </row>
    <row r="21" spans="1:7" x14ac:dyDescent="0.25">
      <c r="A21" t="s">
        <v>142</v>
      </c>
      <c r="B21">
        <v>50</v>
      </c>
    </row>
    <row r="22" spans="1:7" x14ac:dyDescent="0.25">
      <c r="A22" t="str">
        <f>"CFM "&amp;B21</f>
        <v>CFM 50</v>
      </c>
      <c r="B22" s="103">
        <f>B19*B21^B20</f>
        <v>1335.8009996364594</v>
      </c>
      <c r="C22" s="103"/>
      <c r="D22" s="103"/>
      <c r="E22" s="100"/>
    </row>
    <row r="24" spans="1:7" x14ac:dyDescent="0.25">
      <c r="A24" s="71" t="s">
        <v>148</v>
      </c>
    </row>
    <row r="25" spans="1:7" s="89" customFormat="1" x14ac:dyDescent="0.25">
      <c r="A25" s="89" t="s">
        <v>122</v>
      </c>
      <c r="B25" s="89" t="s">
        <v>125</v>
      </c>
      <c r="C25" s="89" t="s">
        <v>123</v>
      </c>
      <c r="D25" s="89" t="s">
        <v>177</v>
      </c>
      <c r="E25" s="89" t="s">
        <v>137</v>
      </c>
    </row>
    <row r="26" spans="1:7" x14ac:dyDescent="0.25">
      <c r="A26">
        <v>-52.16</v>
      </c>
      <c r="B26" s="104">
        <f t="shared" ref="B26:B29" si="2">ABS(A26-$B$8)</f>
        <v>49.896666666666661</v>
      </c>
      <c r="C26">
        <v>1233.5</v>
      </c>
      <c r="D26">
        <v>24.57</v>
      </c>
      <c r="E26" s="102">
        <f>D26/B26</f>
        <v>0.49241766317055252</v>
      </c>
      <c r="G26" s="104">
        <f>B26-D26</f>
        <v>25.326666666666661</v>
      </c>
    </row>
    <row r="27" spans="1:7" x14ac:dyDescent="0.25">
      <c r="A27">
        <v>-47.17</v>
      </c>
      <c r="B27" s="104">
        <f t="shared" si="2"/>
        <v>44.906666666666666</v>
      </c>
      <c r="C27">
        <v>1146.4000000000001</v>
      </c>
      <c r="D27">
        <v>22.18</v>
      </c>
      <c r="E27" s="102">
        <f t="shared" ref="E27:E29" si="3">D27/B27</f>
        <v>0.49391330166270786</v>
      </c>
    </row>
    <row r="28" spans="1:7" x14ac:dyDescent="0.25">
      <c r="A28">
        <v>-42.32</v>
      </c>
      <c r="B28" s="104">
        <f t="shared" si="2"/>
        <v>40.056666666666665</v>
      </c>
      <c r="C28">
        <v>1061.0999999999999</v>
      </c>
      <c r="D28">
        <v>19.850000000000001</v>
      </c>
      <c r="E28" s="102">
        <f t="shared" si="3"/>
        <v>0.49554797370391951</v>
      </c>
    </row>
    <row r="29" spans="1:7" x14ac:dyDescent="0.25">
      <c r="A29">
        <v>-37.15</v>
      </c>
      <c r="B29" s="104">
        <f t="shared" si="2"/>
        <v>34.886666666666663</v>
      </c>
      <c r="C29">
        <v>977.1</v>
      </c>
      <c r="D29">
        <v>17.63</v>
      </c>
      <c r="E29" s="102">
        <f t="shared" si="3"/>
        <v>0.50535065927766099</v>
      </c>
    </row>
    <row r="30" spans="1:7" x14ac:dyDescent="0.25">
      <c r="G30">
        <f>C12-C26</f>
        <v>102</v>
      </c>
    </row>
    <row r="31" spans="1:7" x14ac:dyDescent="0.25">
      <c r="B31" t="s">
        <v>138</v>
      </c>
    </row>
    <row r="32" spans="1:7" x14ac:dyDescent="0.25">
      <c r="A32" t="s">
        <v>140</v>
      </c>
      <c r="B32">
        <v>96.066000000000003</v>
      </c>
      <c r="D32" s="135" t="s">
        <v>124</v>
      </c>
      <c r="E32" s="136" t="s">
        <v>178</v>
      </c>
    </row>
    <row r="33" spans="1:18" x14ac:dyDescent="0.25">
      <c r="A33" t="s">
        <v>141</v>
      </c>
      <c r="B33">
        <v>0.65210000000000001</v>
      </c>
    </row>
    <row r="34" spans="1:18" x14ac:dyDescent="0.25">
      <c r="A34" t="s">
        <v>142</v>
      </c>
      <c r="B34">
        <v>50</v>
      </c>
    </row>
    <row r="35" spans="1:18" x14ac:dyDescent="0.25">
      <c r="A35" t="str">
        <f>"CFM "&amp;B34</f>
        <v>CFM 50</v>
      </c>
      <c r="B35" s="103">
        <f>B32*B34^B33</f>
        <v>1231.5953704702661</v>
      </c>
      <c r="D35" s="100">
        <f>B22/B35</f>
        <v>1.0846102800194872</v>
      </c>
      <c r="R35">
        <f>20*10*144</f>
        <v>28800</v>
      </c>
    </row>
    <row r="36" spans="1:18" x14ac:dyDescent="0.25">
      <c r="D36" s="100">
        <f>B35/B22</f>
        <v>0.92199015482504276</v>
      </c>
    </row>
    <row r="37" spans="1:18" x14ac:dyDescent="0.25">
      <c r="R37">
        <v>2.25</v>
      </c>
    </row>
    <row r="38" spans="1:18" x14ac:dyDescent="0.25">
      <c r="R38">
        <v>1.87</v>
      </c>
    </row>
    <row r="39" spans="1:18" x14ac:dyDescent="0.25">
      <c r="R39">
        <f>R37-R38</f>
        <v>0.37999999999999989</v>
      </c>
    </row>
  </sheetData>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zoomScaleNormal="100" workbookViewId="0"/>
  </sheetViews>
  <sheetFormatPr defaultRowHeight="15" x14ac:dyDescent="0.25"/>
  <cols>
    <col min="1" max="7" width="13.28515625" customWidth="1"/>
    <col min="17" max="17" width="33.140625" customWidth="1"/>
  </cols>
  <sheetData>
    <row r="1" spans="1:7" x14ac:dyDescent="0.25">
      <c r="A1" s="71" t="s">
        <v>144</v>
      </c>
    </row>
    <row r="4" spans="1:7" x14ac:dyDescent="0.25">
      <c r="A4" s="71" t="s">
        <v>127</v>
      </c>
      <c r="B4" t="s">
        <v>131</v>
      </c>
      <c r="C4" t="s">
        <v>132</v>
      </c>
    </row>
    <row r="5" spans="1:7" x14ac:dyDescent="0.25">
      <c r="A5" s="101" t="s">
        <v>128</v>
      </c>
      <c r="B5">
        <v>-0.65</v>
      </c>
      <c r="C5">
        <v>0.44</v>
      </c>
    </row>
    <row r="6" spans="1:7" x14ac:dyDescent="0.25">
      <c r="A6" s="101" t="s">
        <v>129</v>
      </c>
      <c r="B6">
        <v>-2.11</v>
      </c>
      <c r="C6">
        <v>1.1499999999999999</v>
      </c>
    </row>
    <row r="7" spans="1:7" x14ac:dyDescent="0.25">
      <c r="A7" s="101" t="s">
        <v>130</v>
      </c>
      <c r="B7">
        <v>-2.13</v>
      </c>
      <c r="C7">
        <v>1.05</v>
      </c>
    </row>
    <row r="8" spans="1:7" x14ac:dyDescent="0.25">
      <c r="A8" s="101" t="s">
        <v>60</v>
      </c>
      <c r="B8">
        <f>AVERAGE(B5:B7)</f>
        <v>-1.63</v>
      </c>
      <c r="C8">
        <f>AVERAGE(C5:C7)</f>
        <v>0.87999999999999989</v>
      </c>
    </row>
    <row r="10" spans="1:7" x14ac:dyDescent="0.25">
      <c r="A10" s="71" t="s">
        <v>133</v>
      </c>
    </row>
    <row r="11" spans="1:7" s="76" customFormat="1" ht="30" x14ac:dyDescent="0.25">
      <c r="A11" s="76" t="s">
        <v>122</v>
      </c>
      <c r="B11" s="76" t="s">
        <v>125</v>
      </c>
      <c r="C11" s="76" t="s">
        <v>123</v>
      </c>
      <c r="D11" s="76" t="s">
        <v>136</v>
      </c>
      <c r="E11" s="76" t="s">
        <v>135</v>
      </c>
      <c r="F11" s="76" t="s">
        <v>123</v>
      </c>
      <c r="G11" s="76" t="s">
        <v>126</v>
      </c>
    </row>
    <row r="12" spans="1:7" x14ac:dyDescent="0.25">
      <c r="A12">
        <v>-51.88</v>
      </c>
      <c r="B12">
        <f>ABS(A12-$B$8)</f>
        <v>50.25</v>
      </c>
      <c r="C12">
        <v>1124.8</v>
      </c>
      <c r="D12">
        <v>-0.02</v>
      </c>
      <c r="E12">
        <f>ABS((A12+D12)-$C$8)</f>
        <v>52.780000000000008</v>
      </c>
      <c r="F12">
        <v>309.7</v>
      </c>
      <c r="G12">
        <f>C12+F12</f>
        <v>1434.5</v>
      </c>
    </row>
    <row r="13" spans="1:7" x14ac:dyDescent="0.25">
      <c r="A13">
        <v>-46.91</v>
      </c>
      <c r="B13">
        <f t="shared" ref="B13:B14" si="0">ABS(A13-$B$8)</f>
        <v>45.279999999999994</v>
      </c>
      <c r="C13">
        <v>1051.9000000000001</v>
      </c>
      <c r="D13">
        <v>0.02</v>
      </c>
      <c r="E13">
        <f t="shared" ref="E13:E14" si="1">ABS((A13+D13)-$C$8)</f>
        <v>47.769999999999996</v>
      </c>
      <c r="F13">
        <v>291.89999999999998</v>
      </c>
      <c r="G13">
        <f t="shared" ref="G13:G14" si="2">C13+F13</f>
        <v>1343.8000000000002</v>
      </c>
    </row>
    <row r="14" spans="1:7" x14ac:dyDescent="0.25">
      <c r="A14">
        <v>-41.87</v>
      </c>
      <c r="B14">
        <f t="shared" si="0"/>
        <v>40.239999999999995</v>
      </c>
      <c r="C14">
        <v>967.9</v>
      </c>
      <c r="D14">
        <v>-0.28000000000000003</v>
      </c>
      <c r="E14">
        <f t="shared" si="1"/>
        <v>43.03</v>
      </c>
      <c r="F14">
        <v>279</v>
      </c>
      <c r="G14">
        <f t="shared" si="2"/>
        <v>1246.9000000000001</v>
      </c>
    </row>
    <row r="16" spans="1:7" x14ac:dyDescent="0.25">
      <c r="B16" t="s">
        <v>138</v>
      </c>
      <c r="C16" t="s">
        <v>139</v>
      </c>
    </row>
    <row r="17" spans="1:19" x14ac:dyDescent="0.25">
      <c r="A17" t="s">
        <v>140</v>
      </c>
      <c r="B17">
        <v>79.45</v>
      </c>
      <c r="C17">
        <v>40.774000000000001</v>
      </c>
    </row>
    <row r="18" spans="1:19" x14ac:dyDescent="0.25">
      <c r="A18" t="s">
        <v>141</v>
      </c>
      <c r="B18">
        <v>0.67689999999999995</v>
      </c>
      <c r="C18">
        <v>0.51049999999999995</v>
      </c>
    </row>
    <row r="19" spans="1:19" x14ac:dyDescent="0.25">
      <c r="A19" t="s">
        <v>142</v>
      </c>
      <c r="B19">
        <v>50</v>
      </c>
      <c r="C19">
        <v>50</v>
      </c>
    </row>
    <row r="20" spans="1:19" x14ac:dyDescent="0.25">
      <c r="A20" t="str">
        <f>"CFM "&amp;B19</f>
        <v>CFM 50</v>
      </c>
      <c r="B20" s="103">
        <f>B17*B19^B18</f>
        <v>1122.3458304320204</v>
      </c>
      <c r="C20" s="103">
        <f>C17*C19^C18</f>
        <v>300.40524135163798</v>
      </c>
      <c r="D20" s="103">
        <f>SUM(B20:C20)</f>
        <v>1422.7510717836585</v>
      </c>
      <c r="E20" s="100">
        <f>C20/SUM(B20:C20)</f>
        <v>0.21114392201794607</v>
      </c>
    </row>
    <row r="22" spans="1:19" x14ac:dyDescent="0.25">
      <c r="A22" s="71" t="s">
        <v>134</v>
      </c>
    </row>
    <row r="23" spans="1:19" s="89" customFormat="1" x14ac:dyDescent="0.25">
      <c r="A23" s="89" t="s">
        <v>122</v>
      </c>
      <c r="B23" s="89" t="s">
        <v>125</v>
      </c>
      <c r="C23" s="89" t="s">
        <v>123</v>
      </c>
      <c r="D23" s="89" t="s">
        <v>124</v>
      </c>
      <c r="E23" s="89" t="s">
        <v>137</v>
      </c>
    </row>
    <row r="24" spans="1:19" x14ac:dyDescent="0.25">
      <c r="A24">
        <v>-51.85</v>
      </c>
      <c r="B24">
        <f t="shared" ref="B24:B28" si="3">ABS(A24-$B$8)</f>
        <v>50.22</v>
      </c>
      <c r="C24">
        <v>1335.9</v>
      </c>
      <c r="D24">
        <v>21.03</v>
      </c>
      <c r="E24" s="127">
        <f>D24/B24</f>
        <v>0.41875746714456397</v>
      </c>
      <c r="F24" s="142"/>
    </row>
    <row r="25" spans="1:19" x14ac:dyDescent="0.25">
      <c r="A25">
        <v>-46.93</v>
      </c>
      <c r="B25">
        <f t="shared" si="3"/>
        <v>45.3</v>
      </c>
      <c r="C25">
        <v>1250.9000000000001</v>
      </c>
      <c r="D25">
        <v>18.989999999999998</v>
      </c>
      <c r="E25" s="127">
        <f t="shared" ref="E25:E28" si="4">D25/B25</f>
        <v>0.41920529801324502</v>
      </c>
    </row>
    <row r="26" spans="1:19" x14ac:dyDescent="0.25">
      <c r="A26">
        <v>-41.98</v>
      </c>
      <c r="B26">
        <f t="shared" si="3"/>
        <v>40.349999999999994</v>
      </c>
      <c r="C26">
        <v>1166.0999999999999</v>
      </c>
      <c r="D26">
        <v>17.079999999999998</v>
      </c>
      <c r="E26" s="127">
        <f t="shared" si="4"/>
        <v>0.42329615861214376</v>
      </c>
    </row>
    <row r="27" spans="1:19" x14ac:dyDescent="0.25">
      <c r="A27">
        <v>-37.159999999999997</v>
      </c>
      <c r="B27">
        <f t="shared" si="3"/>
        <v>35.529999999999994</v>
      </c>
      <c r="C27">
        <v>1072.8</v>
      </c>
      <c r="D27">
        <v>15.11</v>
      </c>
      <c r="E27" s="127">
        <f t="shared" si="4"/>
        <v>0.42527441598649035</v>
      </c>
      <c r="S27" s="119" t="s">
        <v>176</v>
      </c>
    </row>
    <row r="28" spans="1:19" x14ac:dyDescent="0.25">
      <c r="A28">
        <v>-32.21</v>
      </c>
      <c r="B28">
        <f t="shared" si="3"/>
        <v>30.580000000000002</v>
      </c>
      <c r="C28">
        <v>976.3</v>
      </c>
      <c r="D28">
        <v>13.14</v>
      </c>
      <c r="E28" s="127">
        <f t="shared" si="4"/>
        <v>0.42969260954872462</v>
      </c>
    </row>
    <row r="29" spans="1:19" x14ac:dyDescent="0.25">
      <c r="R29" t="s">
        <v>74</v>
      </c>
      <c r="S29" t="s">
        <v>227</v>
      </c>
    </row>
    <row r="30" spans="1:19" x14ac:dyDescent="0.25">
      <c r="B30" t="s">
        <v>138</v>
      </c>
      <c r="Q30" t="s">
        <v>226</v>
      </c>
      <c r="R30" s="103">
        <f>B34</f>
        <v>1332.4118607539365</v>
      </c>
      <c r="S30" s="103">
        <f>R30*0.103</f>
        <v>137.23842165765544</v>
      </c>
    </row>
    <row r="31" spans="1:19" x14ac:dyDescent="0.25">
      <c r="A31" t="s">
        <v>140</v>
      </c>
      <c r="B31">
        <v>112.3</v>
      </c>
      <c r="Q31" t="s">
        <v>225</v>
      </c>
      <c r="R31" s="103">
        <f>B20</f>
        <v>1122.3458304320204</v>
      </c>
      <c r="S31" s="103">
        <f t="shared" ref="S31:S33" si="5">R31*0.103</f>
        <v>115.6016205344981</v>
      </c>
    </row>
    <row r="32" spans="1:19" x14ac:dyDescent="0.25">
      <c r="A32" t="s">
        <v>141</v>
      </c>
      <c r="B32">
        <v>0.63229999999999997</v>
      </c>
      <c r="Q32" t="s">
        <v>228</v>
      </c>
      <c r="R32" s="103">
        <f>C20</f>
        <v>300.40524135163798</v>
      </c>
      <c r="S32" s="103">
        <f t="shared" si="5"/>
        <v>30.941739859218711</v>
      </c>
    </row>
    <row r="33" spans="1:21" x14ac:dyDescent="0.25">
      <c r="A33" t="s">
        <v>142</v>
      </c>
      <c r="B33">
        <v>50</v>
      </c>
      <c r="Q33" t="s">
        <v>230</v>
      </c>
      <c r="R33" s="103">
        <f>R32+R31</f>
        <v>1422.7510717836585</v>
      </c>
      <c r="S33" s="103">
        <f t="shared" si="5"/>
        <v>146.54336039371682</v>
      </c>
    </row>
    <row r="34" spans="1:21" x14ac:dyDescent="0.25">
      <c r="A34" t="str">
        <f>"CFM "&amp;B33</f>
        <v>CFM 50</v>
      </c>
      <c r="B34" s="103">
        <f>B31*B33^B32</f>
        <v>1332.4118607539365</v>
      </c>
      <c r="Q34" t="s">
        <v>229</v>
      </c>
      <c r="R34" s="103">
        <f>R30-R31</f>
        <v>210.06603032191606</v>
      </c>
      <c r="S34" s="103">
        <f>S30-S31</f>
        <v>21.63680112315734</v>
      </c>
      <c r="U34" s="100">
        <f>R34/(R34+R32)</f>
        <v>0.41151391268939641</v>
      </c>
    </row>
  </sheetData>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Miscellaneous</vt:lpstr>
      <vt:lpstr>Area Takeoffs</vt:lpstr>
      <vt:lpstr>Previous BD Tests</vt:lpstr>
      <vt:lpstr>BSC BD Tests-Summary</vt:lpstr>
      <vt:lpstr>Multi-Door Test-Nulled</vt:lpstr>
      <vt:lpstr>Multi-Door Test-Not Nulled</vt:lpstr>
      <vt:lpstr>BSC Garage Tests</vt:lpstr>
      <vt:lpstr>BSC Mech Rm Tests</vt:lpstr>
      <vt:lpstr>Miscellaneous!Print_Area</vt:lpstr>
    </vt:vector>
  </TitlesOfParts>
  <Company>Building Science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Kohta Ueno</dc:creator>
  <cp:lastModifiedBy>Kohta Ueno</cp:lastModifiedBy>
  <cp:lastPrinted>2014-02-10T19:32:39Z</cp:lastPrinted>
  <dcterms:created xsi:type="dcterms:W3CDTF">2014-01-13T15:03:52Z</dcterms:created>
  <dcterms:modified xsi:type="dcterms:W3CDTF">2014-09-12T15:57:19Z</dcterms:modified>
</cp:coreProperties>
</file>